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435" firstSheet="3" activeTab="4"/>
  </bookViews>
  <sheets>
    <sheet name="Obce wspólnoty" sheetId="2" r:id="rId1"/>
    <sheet name="Współnoty" sheetId="3" r:id="rId2"/>
    <sheet name="Zasaoby ROM1 komunal i prywat" sheetId="6" r:id="rId3"/>
    <sheet name="Prywatne" sheetId="7" r:id="rId4"/>
    <sheet name="Komunalne" sheetId="8" r:id="rId5"/>
  </sheets>
  <definedNames>
    <definedName name="_xlnm.Print_Titles" localSheetId="4">Komunalne!$4:$6</definedName>
    <definedName name="_xlnm.Print_Titles" localSheetId="3">Prywatne!$5:$8</definedName>
  </definedNames>
  <calcPr calcId="152511" fullCalcOnLoad="1"/>
</workbook>
</file>

<file path=xl/calcChain.xml><?xml version="1.0" encoding="utf-8"?>
<calcChain xmlns="http://schemas.openxmlformats.org/spreadsheetml/2006/main">
  <c r="U8" i="6" l="1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7" i="6"/>
  <c r="J35" i="7"/>
  <c r="I35" i="7"/>
  <c r="H35" i="7"/>
  <c r="G35" i="7"/>
  <c r="F35" i="7"/>
  <c r="E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39" i="7"/>
  <c r="D10" i="7"/>
  <c r="D9" i="7"/>
  <c r="D35" i="7"/>
  <c r="E192" i="6"/>
  <c r="F192" i="6"/>
  <c r="G192" i="6"/>
  <c r="H192" i="6"/>
  <c r="I192" i="6"/>
  <c r="J192" i="6"/>
  <c r="K192" i="6"/>
  <c r="L192" i="6"/>
  <c r="M192" i="6"/>
  <c r="U192" i="6"/>
  <c r="N192" i="6"/>
  <c r="O192" i="6"/>
  <c r="P192" i="6"/>
  <c r="Q192" i="6"/>
  <c r="R192" i="6"/>
  <c r="S192" i="6"/>
  <c r="T19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7" i="6"/>
  <c r="E137" i="3"/>
  <c r="M35" i="3"/>
  <c r="G133" i="3"/>
  <c r="G92" i="3"/>
  <c r="G79" i="3"/>
  <c r="G13" i="3"/>
  <c r="J145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I137" i="3"/>
  <c r="H137" i="3"/>
  <c r="P136" i="3"/>
  <c r="L136" i="3"/>
  <c r="F136" i="3"/>
  <c r="D136" i="3"/>
  <c r="C136" i="3"/>
  <c r="P135" i="3"/>
  <c r="L135" i="3"/>
  <c r="N135" i="3"/>
  <c r="M135" i="3"/>
  <c r="F135" i="3"/>
  <c r="D135" i="3"/>
  <c r="P134" i="3"/>
  <c r="L134" i="3"/>
  <c r="F134" i="3"/>
  <c r="D134" i="3"/>
  <c r="C134" i="3"/>
  <c r="P133" i="3"/>
  <c r="L133" i="3"/>
  <c r="F133" i="3"/>
  <c r="D133" i="3"/>
  <c r="P132" i="3"/>
  <c r="L132" i="3"/>
  <c r="F132" i="3"/>
  <c r="C132" i="3"/>
  <c r="D132" i="3"/>
  <c r="P131" i="3"/>
  <c r="L131" i="3"/>
  <c r="F131" i="3"/>
  <c r="C131" i="3"/>
  <c r="D131" i="3"/>
  <c r="P130" i="3"/>
  <c r="L130" i="3"/>
  <c r="N130" i="3"/>
  <c r="F130" i="3"/>
  <c r="D130" i="3"/>
  <c r="C130" i="3"/>
  <c r="P129" i="3"/>
  <c r="L129" i="3"/>
  <c r="F129" i="3"/>
  <c r="C129" i="3"/>
  <c r="P128" i="3"/>
  <c r="L128" i="3"/>
  <c r="F128" i="3"/>
  <c r="C128" i="3"/>
  <c r="P127" i="3"/>
  <c r="L127" i="3"/>
  <c r="F127" i="3"/>
  <c r="D127" i="3"/>
  <c r="P126" i="3"/>
  <c r="L126" i="3"/>
  <c r="F126" i="3"/>
  <c r="D126" i="3"/>
  <c r="N125" i="3"/>
  <c r="D125" i="3"/>
  <c r="C125" i="3"/>
  <c r="O125" i="3"/>
  <c r="M125" i="3"/>
  <c r="P124" i="3"/>
  <c r="L124" i="3"/>
  <c r="N124" i="3"/>
  <c r="M124" i="3"/>
  <c r="F124" i="3"/>
  <c r="D124" i="3"/>
  <c r="C124" i="3"/>
  <c r="N123" i="3"/>
  <c r="M123" i="3"/>
  <c r="F123" i="3"/>
  <c r="D123" i="3"/>
  <c r="C123" i="3"/>
  <c r="P122" i="3"/>
  <c r="L122" i="3"/>
  <c r="N122" i="3"/>
  <c r="M122" i="3"/>
  <c r="F122" i="3"/>
  <c r="D122" i="3"/>
  <c r="C122" i="3"/>
  <c r="N121" i="3"/>
  <c r="M121" i="3"/>
  <c r="D121" i="3"/>
  <c r="C121" i="3"/>
  <c r="P120" i="3"/>
  <c r="L120" i="3"/>
  <c r="F120" i="3"/>
  <c r="D120" i="3"/>
  <c r="C120" i="3"/>
  <c r="P119" i="3"/>
  <c r="L119" i="3"/>
  <c r="N119" i="3"/>
  <c r="F119" i="3"/>
  <c r="C119" i="3"/>
  <c r="D119" i="3"/>
  <c r="P118" i="3"/>
  <c r="M118" i="3"/>
  <c r="N118" i="3"/>
  <c r="L118" i="3"/>
  <c r="D118" i="3"/>
  <c r="C118" i="3"/>
  <c r="P117" i="3"/>
  <c r="L117" i="3"/>
  <c r="F117" i="3"/>
  <c r="C117" i="3"/>
  <c r="D117" i="3"/>
  <c r="N116" i="3"/>
  <c r="M116" i="3"/>
  <c r="F116" i="3"/>
  <c r="C116" i="3"/>
  <c r="N115" i="3"/>
  <c r="M115" i="3"/>
  <c r="D115" i="3"/>
  <c r="C115" i="3"/>
  <c r="L114" i="3"/>
  <c r="N114" i="3"/>
  <c r="M114" i="3"/>
  <c r="D114" i="3"/>
  <c r="C114" i="3"/>
  <c r="N113" i="3"/>
  <c r="M113" i="3"/>
  <c r="F113" i="3"/>
  <c r="D113" i="3"/>
  <c r="C113" i="3"/>
  <c r="N112" i="3"/>
  <c r="M112" i="3"/>
  <c r="C112" i="3"/>
  <c r="N111" i="3"/>
  <c r="M111" i="3"/>
  <c r="G111" i="3"/>
  <c r="F111" i="3"/>
  <c r="D111" i="3"/>
  <c r="C111" i="3"/>
  <c r="N110" i="3"/>
  <c r="M110" i="3"/>
  <c r="C110" i="3"/>
  <c r="P109" i="3"/>
  <c r="L109" i="3"/>
  <c r="F109" i="3"/>
  <c r="D109" i="3"/>
  <c r="P108" i="3"/>
  <c r="L108" i="3"/>
  <c r="F108" i="3"/>
  <c r="D108" i="3"/>
  <c r="C108" i="3"/>
  <c r="P107" i="3"/>
  <c r="L107" i="3"/>
  <c r="F107" i="3"/>
  <c r="D107" i="3"/>
  <c r="C107" i="3"/>
  <c r="P106" i="3"/>
  <c r="L106" i="3"/>
  <c r="F106" i="3"/>
  <c r="D106" i="3"/>
  <c r="C106" i="3"/>
  <c r="N105" i="3"/>
  <c r="M105" i="3"/>
  <c r="F105" i="3"/>
  <c r="D105" i="3"/>
  <c r="P104" i="3"/>
  <c r="L104" i="3"/>
  <c r="K104" i="3"/>
  <c r="C104" i="3"/>
  <c r="D104" i="3"/>
  <c r="N103" i="3"/>
  <c r="M103" i="3"/>
  <c r="D103" i="3"/>
  <c r="C103" i="3"/>
  <c r="P102" i="3"/>
  <c r="N102" i="3"/>
  <c r="L102" i="3"/>
  <c r="F102" i="3"/>
  <c r="D102" i="3"/>
  <c r="C102" i="3"/>
  <c r="O102" i="3"/>
  <c r="P101" i="3"/>
  <c r="L101" i="3"/>
  <c r="F101" i="3"/>
  <c r="C101" i="3"/>
  <c r="D101" i="3"/>
  <c r="N100" i="3"/>
  <c r="M100" i="3"/>
  <c r="F100" i="3"/>
  <c r="D100" i="3"/>
  <c r="P99" i="3"/>
  <c r="L99" i="3"/>
  <c r="F99" i="3"/>
  <c r="D99" i="3"/>
  <c r="C99" i="3"/>
  <c r="P98" i="3"/>
  <c r="L98" i="3"/>
  <c r="F98" i="3"/>
  <c r="D98" i="3"/>
  <c r="C98" i="3"/>
  <c r="N97" i="3"/>
  <c r="M97" i="3"/>
  <c r="D97" i="3"/>
  <c r="C97" i="3"/>
  <c r="P96" i="3"/>
  <c r="L96" i="3"/>
  <c r="F96" i="3"/>
  <c r="C96" i="3"/>
  <c r="D96" i="3"/>
  <c r="P95" i="3"/>
  <c r="M95" i="3"/>
  <c r="K95" i="3"/>
  <c r="D95" i="3"/>
  <c r="C95" i="3"/>
  <c r="N94" i="3"/>
  <c r="D94" i="3"/>
  <c r="C94" i="3"/>
  <c r="O94" i="3"/>
  <c r="M94" i="3"/>
  <c r="N93" i="3"/>
  <c r="F93" i="3"/>
  <c r="D93" i="3"/>
  <c r="C93" i="3"/>
  <c r="O93" i="3"/>
  <c r="M93" i="3"/>
  <c r="N92" i="3"/>
  <c r="D92" i="3"/>
  <c r="C92" i="3"/>
  <c r="O92" i="3"/>
  <c r="M92" i="3"/>
  <c r="N91" i="3"/>
  <c r="M91" i="3"/>
  <c r="D91" i="3"/>
  <c r="C91" i="3"/>
  <c r="P90" i="3"/>
  <c r="L90" i="3"/>
  <c r="F90" i="3"/>
  <c r="C90" i="3"/>
  <c r="O90" i="3"/>
  <c r="D90" i="3"/>
  <c r="P89" i="3"/>
  <c r="N89" i="3"/>
  <c r="L89" i="3"/>
  <c r="F89" i="3"/>
  <c r="D89" i="3"/>
  <c r="L88" i="3"/>
  <c r="N88" i="3"/>
  <c r="D88" i="3"/>
  <c r="C88" i="3"/>
  <c r="O88" i="3"/>
  <c r="M88" i="3"/>
  <c r="N87" i="3"/>
  <c r="G87" i="3"/>
  <c r="F87" i="3"/>
  <c r="D87" i="3"/>
  <c r="P86" i="3"/>
  <c r="L86" i="3"/>
  <c r="F86" i="3"/>
  <c r="D86" i="3"/>
  <c r="P85" i="3"/>
  <c r="N85" i="3"/>
  <c r="L85" i="3"/>
  <c r="F85" i="3"/>
  <c r="D85" i="3"/>
  <c r="N84" i="3"/>
  <c r="F84" i="3"/>
  <c r="D84" i="3"/>
  <c r="N83" i="3"/>
  <c r="D83" i="3"/>
  <c r="C83" i="3"/>
  <c r="O83" i="3"/>
  <c r="M83" i="3"/>
  <c r="N82" i="3"/>
  <c r="D82" i="3"/>
  <c r="C82" i="3"/>
  <c r="O82" i="3"/>
  <c r="N81" i="3"/>
  <c r="C81" i="3"/>
  <c r="O81" i="3"/>
  <c r="P80" i="3"/>
  <c r="L80" i="3"/>
  <c r="F80" i="3"/>
  <c r="C80" i="3"/>
  <c r="D80" i="3"/>
  <c r="N79" i="3"/>
  <c r="J137" i="3"/>
  <c r="D79" i="3"/>
  <c r="C79" i="3"/>
  <c r="O79" i="3"/>
  <c r="M79" i="3"/>
  <c r="N78" i="3"/>
  <c r="D78" i="3"/>
  <c r="C78" i="3"/>
  <c r="O78" i="3"/>
  <c r="M78" i="3"/>
  <c r="N77" i="3"/>
  <c r="D77" i="3"/>
  <c r="C77" i="3"/>
  <c r="O77" i="3"/>
  <c r="M77" i="3"/>
  <c r="N76" i="3"/>
  <c r="D76" i="3"/>
  <c r="C76" i="3"/>
  <c r="O76" i="3"/>
  <c r="M76" i="3"/>
  <c r="N75" i="3"/>
  <c r="D75" i="3"/>
  <c r="C75" i="3"/>
  <c r="O75" i="3"/>
  <c r="M75" i="3"/>
  <c r="Q74" i="3"/>
  <c r="N74" i="3"/>
  <c r="F74" i="3"/>
  <c r="D74" i="3"/>
  <c r="C74" i="3"/>
  <c r="O74" i="3"/>
  <c r="M74" i="3"/>
  <c r="N73" i="3"/>
  <c r="C73" i="3"/>
  <c r="O73" i="3"/>
  <c r="M73" i="3"/>
  <c r="P72" i="3"/>
  <c r="F72" i="3"/>
  <c r="D72" i="3"/>
  <c r="L71" i="3"/>
  <c r="N71" i="3"/>
  <c r="F71" i="3"/>
  <c r="D71" i="3"/>
  <c r="P70" i="3"/>
  <c r="L70" i="3"/>
  <c r="F70" i="3"/>
  <c r="D70" i="3"/>
  <c r="C70" i="3"/>
  <c r="O70" i="3"/>
  <c r="N69" i="3"/>
  <c r="D69" i="3"/>
  <c r="C69" i="3"/>
  <c r="O69" i="3"/>
  <c r="M69" i="3"/>
  <c r="L68" i="3"/>
  <c r="N68" i="3"/>
  <c r="D68" i="3"/>
  <c r="C68" i="3"/>
  <c r="O68" i="3"/>
  <c r="N67" i="3"/>
  <c r="C67" i="3"/>
  <c r="O67" i="3"/>
  <c r="M67" i="3"/>
  <c r="P66" i="3"/>
  <c r="L66" i="3"/>
  <c r="F66" i="3"/>
  <c r="D66" i="3"/>
  <c r="P65" i="3"/>
  <c r="L65" i="3"/>
  <c r="C65" i="3"/>
  <c r="O65" i="3"/>
  <c r="M65" i="3"/>
  <c r="P64" i="3"/>
  <c r="L64" i="3"/>
  <c r="F64" i="3"/>
  <c r="D64" i="3"/>
  <c r="C64" i="3"/>
  <c r="N63" i="3"/>
  <c r="M63" i="3"/>
  <c r="D63" i="3"/>
  <c r="C63" i="3"/>
  <c r="N62" i="3"/>
  <c r="M62" i="3"/>
  <c r="D62" i="3"/>
  <c r="C62" i="3"/>
  <c r="P61" i="3"/>
  <c r="L61" i="3"/>
  <c r="F61" i="3"/>
  <c r="D61" i="3"/>
  <c r="N60" i="3"/>
  <c r="D60" i="3"/>
  <c r="C60" i="3"/>
  <c r="O60" i="3"/>
  <c r="M60" i="3"/>
  <c r="P59" i="3"/>
  <c r="L59" i="3"/>
  <c r="F59" i="3"/>
  <c r="D59" i="3"/>
  <c r="Q58" i="3"/>
  <c r="P58" i="3"/>
  <c r="L58" i="3"/>
  <c r="F58" i="3"/>
  <c r="D58" i="3"/>
  <c r="C58" i="3"/>
  <c r="P57" i="3"/>
  <c r="L57" i="3"/>
  <c r="F57" i="3"/>
  <c r="D57" i="3"/>
  <c r="C57" i="3"/>
  <c r="P56" i="3"/>
  <c r="N56" i="3"/>
  <c r="L56" i="3"/>
  <c r="F56" i="3"/>
  <c r="C56" i="3"/>
  <c r="O56" i="3"/>
  <c r="M56" i="3"/>
  <c r="D56" i="3"/>
  <c r="N55" i="3"/>
  <c r="F55" i="3"/>
  <c r="D55" i="3"/>
  <c r="P54" i="3"/>
  <c r="L54" i="3"/>
  <c r="F54" i="3"/>
  <c r="D54" i="3"/>
  <c r="N53" i="3"/>
  <c r="F53" i="3"/>
  <c r="C53" i="3"/>
  <c r="O53" i="3"/>
  <c r="M53" i="3"/>
  <c r="D53" i="3"/>
  <c r="N52" i="3"/>
  <c r="F52" i="3"/>
  <c r="D52" i="3"/>
  <c r="C52" i="3"/>
  <c r="O52" i="3"/>
  <c r="M52" i="3"/>
  <c r="P51" i="3"/>
  <c r="L51" i="3"/>
  <c r="F51" i="3"/>
  <c r="D51" i="3"/>
  <c r="C51" i="3"/>
  <c r="O51" i="3"/>
  <c r="P50" i="3"/>
  <c r="L50" i="3"/>
  <c r="F50" i="3"/>
  <c r="C50" i="3"/>
  <c r="O50" i="3"/>
  <c r="D50" i="3"/>
  <c r="P49" i="3"/>
  <c r="N49" i="3"/>
  <c r="L49" i="3"/>
  <c r="F49" i="3"/>
  <c r="D49" i="3"/>
  <c r="C49" i="3"/>
  <c r="O49" i="3"/>
  <c r="N48" i="3"/>
  <c r="F48" i="3"/>
  <c r="D48" i="3"/>
  <c r="C48" i="3"/>
  <c r="O48" i="3"/>
  <c r="M48" i="3"/>
  <c r="P47" i="3"/>
  <c r="L47" i="3"/>
  <c r="F47" i="3"/>
  <c r="D47" i="3"/>
  <c r="C47" i="3"/>
  <c r="O47" i="3"/>
  <c r="P46" i="3"/>
  <c r="N46" i="3"/>
  <c r="L46" i="3"/>
  <c r="F46" i="3"/>
  <c r="D46" i="3"/>
  <c r="C46" i="3"/>
  <c r="O46" i="3"/>
  <c r="P45" i="3"/>
  <c r="L45" i="3"/>
  <c r="F45" i="3"/>
  <c r="C45" i="3"/>
  <c r="O45" i="3"/>
  <c r="M45" i="3"/>
  <c r="D45" i="3"/>
  <c r="P44" i="3"/>
  <c r="L44" i="3"/>
  <c r="F44" i="3"/>
  <c r="D44" i="3"/>
  <c r="P43" i="3"/>
  <c r="N43" i="3"/>
  <c r="L43" i="3"/>
  <c r="F43" i="3"/>
  <c r="D43" i="3"/>
  <c r="C43" i="3"/>
  <c r="O43" i="3"/>
  <c r="M43" i="3"/>
  <c r="P42" i="3"/>
  <c r="L42" i="3"/>
  <c r="F42" i="3"/>
  <c r="D42" i="3"/>
  <c r="P41" i="3"/>
  <c r="L41" i="3"/>
  <c r="F41" i="3"/>
  <c r="D41" i="3"/>
  <c r="C41" i="3"/>
  <c r="O41" i="3"/>
  <c r="P40" i="3"/>
  <c r="L40" i="3"/>
  <c r="N40" i="3"/>
  <c r="F40" i="3"/>
  <c r="D40" i="3"/>
  <c r="P39" i="3"/>
  <c r="L39" i="3"/>
  <c r="F39" i="3"/>
  <c r="C39" i="3"/>
  <c r="D39" i="3"/>
  <c r="P38" i="3"/>
  <c r="L38" i="3"/>
  <c r="F38" i="3"/>
  <c r="D38" i="3"/>
  <c r="C38" i="3"/>
  <c r="O38" i="3"/>
  <c r="P37" i="3"/>
  <c r="L37" i="3"/>
  <c r="F37" i="3"/>
  <c r="C37" i="3"/>
  <c r="D37" i="3"/>
  <c r="N36" i="3"/>
  <c r="D36" i="3"/>
  <c r="C36" i="3"/>
  <c r="O36" i="3"/>
  <c r="P34" i="3"/>
  <c r="L34" i="3"/>
  <c r="F34" i="3"/>
  <c r="D34" i="3"/>
  <c r="C34" i="3"/>
  <c r="O34" i="3"/>
  <c r="P33" i="3"/>
  <c r="L33" i="3"/>
  <c r="N33" i="3"/>
  <c r="G33" i="3"/>
  <c r="F33" i="3"/>
  <c r="D33" i="3"/>
  <c r="N32" i="3"/>
  <c r="D32" i="3"/>
  <c r="C32" i="3"/>
  <c r="O32" i="3"/>
  <c r="M32" i="3"/>
  <c r="L31" i="3"/>
  <c r="N31" i="3"/>
  <c r="M31" i="3"/>
  <c r="D31" i="3"/>
  <c r="C31" i="3"/>
  <c r="O31" i="3"/>
  <c r="N30" i="3"/>
  <c r="D30" i="3"/>
  <c r="C30" i="3"/>
  <c r="O30" i="3"/>
  <c r="M30" i="3"/>
  <c r="N29" i="3"/>
  <c r="C29" i="3"/>
  <c r="O29" i="3"/>
  <c r="M29" i="3"/>
  <c r="P28" i="3"/>
  <c r="N28" i="3"/>
  <c r="L28" i="3"/>
  <c r="F28" i="3"/>
  <c r="D28" i="3"/>
  <c r="N27" i="3"/>
  <c r="F27" i="3"/>
  <c r="C27" i="3"/>
  <c r="D27" i="3"/>
  <c r="P26" i="3"/>
  <c r="N26" i="3"/>
  <c r="L26" i="3"/>
  <c r="F26" i="3"/>
  <c r="D26" i="3"/>
  <c r="P25" i="3"/>
  <c r="L25" i="3"/>
  <c r="F25" i="3"/>
  <c r="D25" i="3"/>
  <c r="C25" i="3"/>
  <c r="O25" i="3"/>
  <c r="P24" i="3"/>
  <c r="L24" i="3"/>
  <c r="F24" i="3"/>
  <c r="D24" i="3"/>
  <c r="P23" i="3"/>
  <c r="L23" i="3"/>
  <c r="F23" i="3"/>
  <c r="D23" i="3"/>
  <c r="C23" i="3"/>
  <c r="O23" i="3"/>
  <c r="P22" i="3"/>
  <c r="L22" i="3"/>
  <c r="F22" i="3"/>
  <c r="D22" i="3"/>
  <c r="P21" i="3"/>
  <c r="L21" i="3"/>
  <c r="N21" i="3"/>
  <c r="M21" i="3"/>
  <c r="F21" i="3"/>
  <c r="D21" i="3"/>
  <c r="C21" i="3"/>
  <c r="P20" i="3"/>
  <c r="N20" i="3"/>
  <c r="L20" i="3"/>
  <c r="F20" i="3"/>
  <c r="C20" i="3"/>
  <c r="D20" i="3"/>
  <c r="P19" i="3"/>
  <c r="M19" i="3"/>
  <c r="L19" i="3"/>
  <c r="N19" i="3"/>
  <c r="F19" i="3"/>
  <c r="D19" i="3"/>
  <c r="N18" i="3"/>
  <c r="M18" i="3"/>
  <c r="D18" i="3"/>
  <c r="C18" i="3"/>
  <c r="P17" i="3"/>
  <c r="L17" i="3"/>
  <c r="C17" i="3"/>
  <c r="P16" i="3"/>
  <c r="M16" i="3"/>
  <c r="L16" i="3"/>
  <c r="G16" i="3"/>
  <c r="C16" i="3"/>
  <c r="P15" i="3"/>
  <c r="L15" i="3"/>
  <c r="N15" i="3"/>
  <c r="F15" i="3"/>
  <c r="C15" i="3"/>
  <c r="D15" i="3"/>
  <c r="P14" i="3"/>
  <c r="L14" i="3"/>
  <c r="N14" i="3"/>
  <c r="G14" i="3"/>
  <c r="F14" i="3"/>
  <c r="D14" i="3"/>
  <c r="P13" i="3"/>
  <c r="N13" i="3"/>
  <c r="L13" i="3"/>
  <c r="F13" i="3"/>
  <c r="D13" i="3"/>
  <c r="P12" i="3"/>
  <c r="L12" i="3"/>
  <c r="G12" i="3"/>
  <c r="F12" i="3"/>
  <c r="D12" i="3"/>
  <c r="C12" i="3"/>
  <c r="N11" i="3"/>
  <c r="M11" i="3"/>
  <c r="D11" i="3"/>
  <c r="C11" i="3"/>
  <c r="P10" i="3"/>
  <c r="N10" i="3"/>
  <c r="L10" i="3"/>
  <c r="L137" i="3"/>
  <c r="F10" i="3"/>
  <c r="D10" i="3"/>
  <c r="C10" i="3"/>
  <c r="N9" i="3"/>
  <c r="M9" i="3"/>
  <c r="D9" i="3"/>
  <c r="C9" i="3"/>
  <c r="N8" i="3"/>
  <c r="M8" i="3"/>
  <c r="F8" i="3"/>
  <c r="D8" i="3"/>
  <c r="C8" i="3"/>
  <c r="D75" i="2"/>
  <c r="C75" i="2"/>
  <c r="D79" i="2"/>
  <c r="C79" i="2"/>
  <c r="D78" i="2"/>
  <c r="C78" i="2"/>
  <c r="D77" i="2"/>
  <c r="C77" i="2"/>
  <c r="C76" i="2"/>
  <c r="D70" i="2"/>
  <c r="C70" i="2"/>
  <c r="D68" i="2"/>
  <c r="C68" i="2"/>
  <c r="D66" i="2"/>
  <c r="C66" i="2"/>
  <c r="D64" i="2"/>
  <c r="C64" i="2"/>
  <c r="D58" i="2"/>
  <c r="C58" i="2"/>
  <c r="D57" i="2"/>
  <c r="C57" i="2"/>
  <c r="C55" i="2"/>
  <c r="C51" i="2"/>
  <c r="C50" i="2"/>
  <c r="D47" i="2"/>
  <c r="C47" i="2"/>
  <c r="D46" i="2"/>
  <c r="C46" i="2"/>
  <c r="D45" i="2"/>
  <c r="C45" i="2"/>
  <c r="D39" i="2"/>
  <c r="C39" i="2"/>
  <c r="D36" i="2"/>
  <c r="C36" i="2"/>
  <c r="D31" i="2"/>
  <c r="C31" i="2"/>
  <c r="D28" i="2"/>
  <c r="C28" i="2"/>
  <c r="C27" i="2"/>
  <c r="D25" i="2"/>
  <c r="C25" i="2"/>
  <c r="D23" i="2"/>
  <c r="C23" i="2"/>
  <c r="D21" i="2"/>
  <c r="D87" i="2"/>
  <c r="C21" i="2"/>
  <c r="D20" i="2"/>
  <c r="C20" i="2"/>
  <c r="C17" i="2"/>
  <c r="D16" i="2"/>
  <c r="C16" i="2"/>
  <c r="D13" i="2"/>
  <c r="C13" i="2"/>
  <c r="D7" i="2"/>
  <c r="C7" i="2"/>
  <c r="C84" i="2"/>
  <c r="C84" i="3"/>
  <c r="O84" i="3"/>
  <c r="M84" i="3"/>
  <c r="K137" i="3"/>
  <c r="O39" i="3"/>
  <c r="M39" i="3"/>
  <c r="C55" i="3"/>
  <c r="O55" i="3"/>
  <c r="C86" i="3"/>
  <c r="O86" i="3"/>
  <c r="N12" i="3"/>
  <c r="M12" i="3"/>
  <c r="N24" i="3"/>
  <c r="C40" i="3"/>
  <c r="O40" i="3"/>
  <c r="N45" i="3"/>
  <c r="C54" i="3"/>
  <c r="O54" i="3"/>
  <c r="M54" i="3"/>
  <c r="N61" i="3"/>
  <c r="M61" i="3"/>
  <c r="N131" i="3"/>
  <c r="N117" i="3"/>
  <c r="M117" i="3"/>
  <c r="C71" i="3"/>
  <c r="O71" i="3"/>
  <c r="M71" i="3"/>
  <c r="C72" i="3"/>
  <c r="O72" i="3"/>
  <c r="M72" i="3"/>
  <c r="M82" i="3"/>
  <c r="C85" i="3"/>
  <c r="O85" i="3"/>
  <c r="M85" i="3"/>
  <c r="N86" i="3"/>
  <c r="C89" i="3"/>
  <c r="O89" i="3"/>
  <c r="N132" i="3"/>
  <c r="M132" i="3"/>
  <c r="C133" i="3"/>
  <c r="N133" i="3"/>
  <c r="M133" i="3"/>
  <c r="C14" i="3"/>
  <c r="M15" i="3"/>
  <c r="C33" i="3"/>
  <c r="O33" i="3"/>
  <c r="M33" i="3"/>
  <c r="N34" i="3"/>
  <c r="M34" i="3"/>
  <c r="N57" i="3"/>
  <c r="N58" i="3"/>
  <c r="N65" i="3"/>
  <c r="C66" i="3"/>
  <c r="O66" i="3"/>
  <c r="M66" i="3"/>
  <c r="N127" i="3"/>
  <c r="M20" i="3"/>
  <c r="M13" i="3"/>
  <c r="Q137" i="3"/>
  <c r="N104" i="3"/>
  <c r="M104" i="3"/>
  <c r="N99" i="3"/>
  <c r="M99" i="3"/>
  <c r="C19" i="3"/>
  <c r="C22" i="3"/>
  <c r="N22" i="3"/>
  <c r="M22" i="3"/>
  <c r="N23" i="3"/>
  <c r="C24" i="3"/>
  <c r="O24" i="3"/>
  <c r="C26" i="3"/>
  <c r="O26" i="3"/>
  <c r="M26" i="3"/>
  <c r="O27" i="3"/>
  <c r="M27" i="3"/>
  <c r="C28" i="3"/>
  <c r="O28" i="3"/>
  <c r="M28" i="3"/>
  <c r="M36" i="3"/>
  <c r="O37" i="3"/>
  <c r="M37" i="3"/>
  <c r="N37" i="3"/>
  <c r="M40" i="3"/>
  <c r="N41" i="3"/>
  <c r="C42" i="3"/>
  <c r="O42" i="3"/>
  <c r="M42" i="3"/>
  <c r="N42" i="3"/>
  <c r="C44" i="3"/>
  <c r="O44" i="3"/>
  <c r="M44" i="3"/>
  <c r="N44" i="3"/>
  <c r="O57" i="3"/>
  <c r="M57" i="3"/>
  <c r="C59" i="3"/>
  <c r="O59" i="3"/>
  <c r="M59" i="3"/>
  <c r="C61" i="3"/>
  <c r="O64" i="3"/>
  <c r="M64" i="3"/>
  <c r="N64" i="3"/>
  <c r="N66" i="3"/>
  <c r="O80" i="3"/>
  <c r="N80" i="3"/>
  <c r="M80" i="3"/>
  <c r="M81" i="3"/>
  <c r="C87" i="3"/>
  <c r="O87" i="3"/>
  <c r="M87" i="3"/>
  <c r="N90" i="3"/>
  <c r="C100" i="3"/>
  <c r="N101" i="3"/>
  <c r="M101" i="3"/>
  <c r="C105" i="3"/>
  <c r="N106" i="3"/>
  <c r="M106" i="3"/>
  <c r="C109" i="3"/>
  <c r="N109" i="3"/>
  <c r="M109" i="3"/>
  <c r="C126" i="3"/>
  <c r="N126" i="3"/>
  <c r="M126" i="3"/>
  <c r="C127" i="3"/>
  <c r="M130" i="3"/>
  <c r="M131" i="3"/>
  <c r="C135" i="3"/>
  <c r="G137" i="3"/>
  <c r="M14" i="3"/>
  <c r="M46" i="3"/>
  <c r="M68" i="3"/>
  <c r="M86" i="3"/>
  <c r="M10" i="3"/>
  <c r="M23" i="3"/>
  <c r="D192" i="6"/>
  <c r="N50" i="3"/>
  <c r="M50" i="3"/>
  <c r="N51" i="3"/>
  <c r="M51" i="3"/>
  <c r="N54" i="3"/>
  <c r="N128" i="3"/>
  <c r="M128" i="3"/>
  <c r="N134" i="3"/>
  <c r="M134" i="3"/>
  <c r="N136" i="3"/>
  <c r="M136" i="3"/>
  <c r="M89" i="3"/>
  <c r="N47" i="3"/>
  <c r="M47" i="3"/>
  <c r="O58" i="3"/>
  <c r="M58" i="3"/>
  <c r="N59" i="3"/>
  <c r="N98" i="3"/>
  <c r="M98" i="3"/>
  <c r="M119" i="3"/>
  <c r="N120" i="3"/>
  <c r="M120" i="3"/>
  <c r="M127" i="3"/>
  <c r="C13" i="3"/>
  <c r="M49" i="3"/>
  <c r="P137" i="3"/>
  <c r="M55" i="3"/>
  <c r="M102" i="3"/>
  <c r="N129" i="3"/>
  <c r="M129" i="3"/>
  <c r="F137" i="3"/>
  <c r="N39" i="3"/>
  <c r="N70" i="3"/>
  <c r="M70" i="3"/>
  <c r="N107" i="3"/>
  <c r="M107" i="3"/>
  <c r="N108" i="3"/>
  <c r="M108" i="3"/>
  <c r="C87" i="2"/>
  <c r="M24" i="3"/>
  <c r="O137" i="3"/>
  <c r="M90" i="3"/>
  <c r="D84" i="2"/>
  <c r="M96" i="3"/>
  <c r="D137" i="3"/>
  <c r="M38" i="3"/>
  <c r="M41" i="3"/>
  <c r="N96" i="3"/>
  <c r="N38" i="3"/>
  <c r="N17" i="3"/>
  <c r="M17" i="3"/>
  <c r="M137" i="3"/>
  <c r="N25" i="3"/>
  <c r="M25" i="3"/>
  <c r="N137" i="3"/>
</calcChain>
</file>

<file path=xl/sharedStrings.xml><?xml version="1.0" encoding="utf-8"?>
<sst xmlns="http://schemas.openxmlformats.org/spreadsheetml/2006/main" count="1024" uniqueCount="436">
  <si>
    <t>dane wsp.</t>
  </si>
  <si>
    <t>tu wprowadzać</t>
  </si>
  <si>
    <t>Lp</t>
  </si>
  <si>
    <t>Adres</t>
  </si>
  <si>
    <t>Powierzchnia rzeczywista</t>
  </si>
  <si>
    <t>lokali</t>
  </si>
  <si>
    <t>gruntu</t>
  </si>
  <si>
    <t>razem</t>
  </si>
  <si>
    <t>mieszkalna</t>
  </si>
  <si>
    <t>użytkowa</t>
  </si>
  <si>
    <t>mieszkania</t>
  </si>
  <si>
    <t>lokale użytkowe</t>
  </si>
  <si>
    <t>wykupione</t>
  </si>
  <si>
    <t>razem podzielone</t>
  </si>
  <si>
    <t>komunalna</t>
  </si>
  <si>
    <t>dział. gosp.</t>
  </si>
  <si>
    <t>wykupiona</t>
  </si>
  <si>
    <t>zwolnienia</t>
  </si>
  <si>
    <t>non profit</t>
  </si>
  <si>
    <t>usł. med.</t>
  </si>
  <si>
    <t>ogółem</t>
  </si>
  <si>
    <t>6. Stycznia 11</t>
  </si>
  <si>
    <t xml:space="preserve">6. Stycznia 8 </t>
  </si>
  <si>
    <t>Alejnika 9</t>
  </si>
  <si>
    <t>Andrzeja 12</t>
  </si>
  <si>
    <t>Armii Krajowej 1</t>
  </si>
  <si>
    <t>Armii Krajowej 12</t>
  </si>
  <si>
    <t>Armii Krajowej 16</t>
  </si>
  <si>
    <t>Armii Krajowej 5</t>
  </si>
  <si>
    <t>Armii Krajowej 9</t>
  </si>
  <si>
    <t>Błonie 17</t>
  </si>
  <si>
    <t>Błonie 27</t>
  </si>
  <si>
    <t>Błonie 9</t>
  </si>
  <si>
    <t>Broniewskiego 5</t>
  </si>
  <si>
    <t>Cegielna 20</t>
  </si>
  <si>
    <t>Daszyńskiego 17</t>
  </si>
  <si>
    <t>Daszyńskiego 24</t>
  </si>
  <si>
    <t>Daszyńskiego 26</t>
  </si>
  <si>
    <t>Daszyńskiego 28</t>
  </si>
  <si>
    <t>Daszyńskiego 32</t>
  </si>
  <si>
    <t>Daszyńskiego 34</t>
  </si>
  <si>
    <t>Daszyńskiego 36</t>
  </si>
  <si>
    <t>Dworcowa 51</t>
  </si>
  <si>
    <t>Dworcowa 53 A</t>
  </si>
  <si>
    <t>Dworcowa 53 C</t>
  </si>
  <si>
    <t>Dworcowa 53 D</t>
  </si>
  <si>
    <t>Dworcowa 80</t>
  </si>
  <si>
    <t>Działowa 3</t>
  </si>
  <si>
    <t>Grabskiego 10</t>
  </si>
  <si>
    <t>Grabskiego 12</t>
  </si>
  <si>
    <t>Grabskiego 13 - 15</t>
  </si>
  <si>
    <t>Harc. Polskiego 1</t>
  </si>
  <si>
    <t>Harc. Polskiego 14</t>
  </si>
  <si>
    <t>Harc. Polskiego 15</t>
  </si>
  <si>
    <t>Harc. Polskiego 4</t>
  </si>
  <si>
    <t>Harc. Polskiego 6</t>
  </si>
  <si>
    <t>Harc. Polskiego 8</t>
  </si>
  <si>
    <t xml:space="preserve">Jacewska 18 </t>
  </si>
  <si>
    <t>Kątna 20 A</t>
  </si>
  <si>
    <t>Kątna 20 B</t>
  </si>
  <si>
    <t>Kątna 20 C</t>
  </si>
  <si>
    <t>Kątna 20 D</t>
  </si>
  <si>
    <t>Kiełbasiewicza 11 C</t>
  </si>
  <si>
    <t>Kiełbasiewicza 9</t>
  </si>
  <si>
    <t>Konopnickiej 24</t>
  </si>
  <si>
    <t>Konopnickiej 26</t>
  </si>
  <si>
    <t>Konopnickiej 29</t>
  </si>
  <si>
    <t>Konopnickiej 30</t>
  </si>
  <si>
    <t>Kopernika 11</t>
  </si>
  <si>
    <t>Kopernika 14</t>
  </si>
  <si>
    <t>Kopernika 4</t>
  </si>
  <si>
    <t>Kopernika 8</t>
  </si>
  <si>
    <t>Królowej Jadwigi 15</t>
  </si>
  <si>
    <t>Królowej Jadwigi 18</t>
  </si>
  <si>
    <t>Królowej Jadwigi 44</t>
  </si>
  <si>
    <t>Królowej Jadwigi 7</t>
  </si>
  <si>
    <t>Krzymińskiego 12</t>
  </si>
  <si>
    <t>Krzywoustego 43</t>
  </si>
  <si>
    <t>Łokietka 37</t>
  </si>
  <si>
    <t>Magazynowa 104</t>
  </si>
  <si>
    <t>Magazynowa 31</t>
  </si>
  <si>
    <t>Magazynowa 35</t>
  </si>
  <si>
    <t>Mała Andrzeja 9</t>
  </si>
  <si>
    <t>Marcinkowskiego 14</t>
  </si>
  <si>
    <t>Mątewska 10</t>
  </si>
  <si>
    <t>Mątewska 7</t>
  </si>
  <si>
    <t>Mieszka I  2</t>
  </si>
  <si>
    <t>Narutowicza 18</t>
  </si>
  <si>
    <t>Narutowicza 54</t>
  </si>
  <si>
    <t>Narutowicza 56</t>
  </si>
  <si>
    <t>NMP 18</t>
  </si>
  <si>
    <t>NMP 19</t>
  </si>
  <si>
    <t>Okrężna 21 - 23 - 25</t>
  </si>
  <si>
    <t>Okrężna 27</t>
  </si>
  <si>
    <t>Pakoska 53</t>
  </si>
  <si>
    <t>Pakoska 6, 8, 10</t>
  </si>
  <si>
    <t>Piękna 17</t>
  </si>
  <si>
    <t>Piękna 18</t>
  </si>
  <si>
    <t>Piękna 19</t>
  </si>
  <si>
    <t>Plac Klasztorny 1 A</t>
  </si>
  <si>
    <t>Plac Klasztorny 1 B</t>
  </si>
  <si>
    <t>Plater 9</t>
  </si>
  <si>
    <t>Poznańska 1 C</t>
  </si>
  <si>
    <t>Poznańska 2 A, B</t>
  </si>
  <si>
    <t>Poznańska 352</t>
  </si>
  <si>
    <t>Poznańska 355</t>
  </si>
  <si>
    <t>Poznańska 360</t>
  </si>
  <si>
    <t>Rynek 1</t>
  </si>
  <si>
    <t>Rynek 5</t>
  </si>
  <si>
    <t>Sienkiewicza 7 - 9</t>
  </si>
  <si>
    <t>Sikorskiego 17</t>
  </si>
  <si>
    <t>Sikorskiego 23</t>
  </si>
  <si>
    <t>Sikorskiego 26 - 28</t>
  </si>
  <si>
    <t>Sikorskiego 32</t>
  </si>
  <si>
    <t>Sikorskiego 34</t>
  </si>
  <si>
    <t>Solankowa 10</t>
  </si>
  <si>
    <t>Solankowa 4</t>
  </si>
  <si>
    <t>Solankowa 59 - 61</t>
  </si>
  <si>
    <t>Solankowa 60-62</t>
  </si>
  <si>
    <t>Szarych Szeregów 5 A</t>
  </si>
  <si>
    <t>Szeroka 7</t>
  </si>
  <si>
    <t>Szosa Bydgoska 18</t>
  </si>
  <si>
    <t>Św. Ducha 18</t>
  </si>
  <si>
    <t>Św. Ducha 26</t>
  </si>
  <si>
    <t>Św. Ducha 38 A</t>
  </si>
  <si>
    <t>Św. Ducha 41</t>
  </si>
  <si>
    <t>Św. Ducha 67</t>
  </si>
  <si>
    <t>Św. Mikołaja 21</t>
  </si>
  <si>
    <t>Toruńska 113</t>
  </si>
  <si>
    <t>Toruńska 119</t>
  </si>
  <si>
    <t>Toruńska 14</t>
  </si>
  <si>
    <t>Toruńska 16</t>
  </si>
  <si>
    <t xml:space="preserve">Toruńska 20 </t>
  </si>
  <si>
    <t>Toruńska 30</t>
  </si>
  <si>
    <t>Toruńska 78</t>
  </si>
  <si>
    <t>Toruńska 8</t>
  </si>
  <si>
    <t>Toruńska 80 - 82 - 84</t>
  </si>
  <si>
    <t>Toruńska 86</t>
  </si>
  <si>
    <t>Wawrzyniaka 10 - 12</t>
  </si>
  <si>
    <t>Wawrzyniaka 14 - 16</t>
  </si>
  <si>
    <t>Wawrzyniaka 15</t>
  </si>
  <si>
    <t>Wawrzyniaka 19</t>
  </si>
  <si>
    <t>Wawrzyniaka 21</t>
  </si>
  <si>
    <t>Wawrzyniaka 8</t>
  </si>
  <si>
    <t>Wilkońskiego 28</t>
  </si>
  <si>
    <t>Wilkońskiego 35</t>
  </si>
  <si>
    <t>Wilkońskiego 38</t>
  </si>
  <si>
    <t>Wilkońskiego 40</t>
  </si>
  <si>
    <t>Wilkońskiego 42</t>
  </si>
  <si>
    <t>Wspólnoty</t>
  </si>
  <si>
    <t>wspólnoty</t>
  </si>
  <si>
    <t>Okrężna 7-9-11</t>
  </si>
  <si>
    <t>Zestawienie powierzchni budynków - na 31 grudzień 2015 rok Wspólnoty</t>
  </si>
  <si>
    <t>Zestawienie powierzchni budynków Wspólnoty Obce - na 31.12 2015 rok</t>
  </si>
  <si>
    <t>Al. Niepodległości 92</t>
  </si>
  <si>
    <t>59 Pułku Piechoty</t>
  </si>
  <si>
    <t>800 Lecia 12A/37</t>
  </si>
  <si>
    <t>800 Lecia 16/2 21.05.2007</t>
  </si>
  <si>
    <t>Al. Niepodległości 26</t>
  </si>
  <si>
    <t>Al.. Niepodległości 24</t>
  </si>
  <si>
    <t>Al.. Niepodległości 60</t>
  </si>
  <si>
    <t>Alejnika 3</t>
  </si>
  <si>
    <t>Alejnika 4</t>
  </si>
  <si>
    <t>Alejnika 15</t>
  </si>
  <si>
    <t>Alejnika 17</t>
  </si>
  <si>
    <t>Alejnika 17a</t>
  </si>
  <si>
    <t>A.Krajowej 2/13</t>
  </si>
  <si>
    <t>Błażka 10 od12/2005</t>
  </si>
  <si>
    <t>Błażka 2</t>
  </si>
  <si>
    <t>Cymsa 8</t>
  </si>
  <si>
    <t>Daszyńskiego 21</t>
  </si>
  <si>
    <t>Długa 22a</t>
  </si>
  <si>
    <t>Długa 22b</t>
  </si>
  <si>
    <t>Długa 32 a</t>
  </si>
  <si>
    <t>Długa 38 a</t>
  </si>
  <si>
    <t>Dworcowa 65</t>
  </si>
  <si>
    <t>Grabskiego 17</t>
  </si>
  <si>
    <t>Gruszczyńskiego 2</t>
  </si>
  <si>
    <t>Gruszczyńskiego 8</t>
  </si>
  <si>
    <t>Kielbasiewicza 11</t>
  </si>
  <si>
    <t>Kiełbasiewicza 12</t>
  </si>
  <si>
    <t>Kiełbasiewicza 10</t>
  </si>
  <si>
    <t>Kleeberga 10</t>
  </si>
  <si>
    <t>Kleeberga 8</t>
  </si>
  <si>
    <t>Kleeberga 9</t>
  </si>
  <si>
    <t>Kopernika 1</t>
  </si>
  <si>
    <t xml:space="preserve">Krzymińskiego 5 </t>
  </si>
  <si>
    <t xml:space="preserve">Krzymińskiego 9 </t>
  </si>
  <si>
    <t>Krzywoustego 17b</t>
  </si>
  <si>
    <t>Kusocińskiego 4</t>
  </si>
  <si>
    <t>Lipowa 63</t>
  </si>
  <si>
    <t>Lipowa 71</t>
  </si>
  <si>
    <t>Łokietka 11/85</t>
  </si>
  <si>
    <t>Łokietka 15</t>
  </si>
  <si>
    <t>Łokietka 16</t>
  </si>
  <si>
    <t>Łokietka 35</t>
  </si>
  <si>
    <t>Łokietka 39</t>
  </si>
  <si>
    <t>Łokietka 43</t>
  </si>
  <si>
    <t>Łokietka 49</t>
  </si>
  <si>
    <t>Łokietka 6</t>
  </si>
  <si>
    <t>Łokietka 7</t>
  </si>
  <si>
    <t>Łokietka 8</t>
  </si>
  <si>
    <t>Łokietka 9</t>
  </si>
  <si>
    <t>Maćkowskiego 8</t>
  </si>
  <si>
    <t>Narutowicza 77</t>
  </si>
  <si>
    <t>Magazynowa 101</t>
  </si>
  <si>
    <t>Magazynowa 83</t>
  </si>
  <si>
    <t>Magazynowa 97</t>
  </si>
  <si>
    <t>Marulewska 13</t>
  </si>
  <si>
    <t>Marulewska 17</t>
  </si>
  <si>
    <t>Marulewska 25</t>
  </si>
  <si>
    <t>Mieszka I 6</t>
  </si>
  <si>
    <t>Okrężna 13,15,17</t>
  </si>
  <si>
    <t>Okrężna 80</t>
  </si>
  <si>
    <t>Szarych Szereg. 17</t>
  </si>
  <si>
    <t>Szarych Szereg.10</t>
  </si>
  <si>
    <t>Szarych Szereg.15</t>
  </si>
  <si>
    <t>Szarych Szereg.22</t>
  </si>
  <si>
    <t>Sz. Szeregów 12/51</t>
  </si>
  <si>
    <t>Wojska Polskiego 27</t>
  </si>
  <si>
    <t>Jacewska 17</t>
  </si>
  <si>
    <t>Jacewska 23</t>
  </si>
  <si>
    <t>Wachowiaka 8</t>
  </si>
  <si>
    <t>Błonie 25a</t>
  </si>
  <si>
    <t>Kopernika 12</t>
  </si>
  <si>
    <t>Krzymińskiego 10</t>
  </si>
  <si>
    <t>Krzywoustego 43a</t>
  </si>
  <si>
    <t>Poznańska 93</t>
  </si>
  <si>
    <t>Wilkońskiego 34</t>
  </si>
  <si>
    <t>Wilkońskiego 39</t>
  </si>
  <si>
    <t xml:space="preserve">Chociszewskiego 39 </t>
  </si>
  <si>
    <t>RAZEM</t>
  </si>
  <si>
    <t>Powierzchnia</t>
  </si>
  <si>
    <t>Typ</t>
  </si>
  <si>
    <t>Wykupione</t>
  </si>
  <si>
    <t>z udziałów</t>
  </si>
  <si>
    <t>Andrzeja 11</t>
  </si>
  <si>
    <t>p</t>
  </si>
  <si>
    <t>Andrzeja 35</t>
  </si>
  <si>
    <t>k</t>
  </si>
  <si>
    <t>Andrzeja 5</t>
  </si>
  <si>
    <t>Armii Krajowej 2 A</t>
  </si>
  <si>
    <t>Armii Krajowej 4 A</t>
  </si>
  <si>
    <t>Błonie 10</t>
  </si>
  <si>
    <t>Błonie 13a</t>
  </si>
  <si>
    <t>Błonie 14</t>
  </si>
  <si>
    <t>Błonie 24</t>
  </si>
  <si>
    <t>Cegielna 11</t>
  </si>
  <si>
    <t>Cegielna 23</t>
  </si>
  <si>
    <t>Cegielna 9</t>
  </si>
  <si>
    <t>Chemiczna 5</t>
  </si>
  <si>
    <t>Chociszewskiego 18</t>
  </si>
  <si>
    <t>Chociszewskiego 25</t>
  </si>
  <si>
    <t>Chociszewskiego 27</t>
  </si>
  <si>
    <t>Chociszewskiego 29</t>
  </si>
  <si>
    <t>Dworcowa 1</t>
  </si>
  <si>
    <t>Dworcowa 31</t>
  </si>
  <si>
    <t>Dworcowa 36</t>
  </si>
  <si>
    <t>Dworcowa 38</t>
  </si>
  <si>
    <t>Dworcowa 44</t>
  </si>
  <si>
    <t>Dworcowa 47</t>
  </si>
  <si>
    <t>Dworcowa 48</t>
  </si>
  <si>
    <t>Dworcowa 53 B</t>
  </si>
  <si>
    <t>Dworcowa 92</t>
  </si>
  <si>
    <t>Hoyera 16</t>
  </si>
  <si>
    <t>Hoyera 20</t>
  </si>
  <si>
    <t>Jaśkowskiego 9</t>
  </si>
  <si>
    <t>Kasprowicza 10</t>
  </si>
  <si>
    <t>Kasprowicza 18</t>
  </si>
  <si>
    <t>Kasztelańska 12</t>
  </si>
  <si>
    <t>Kasztelańska 14</t>
  </si>
  <si>
    <t>Kasztelańska 21</t>
  </si>
  <si>
    <t>Kasztelańska 32</t>
  </si>
  <si>
    <t>Kilińskiego 5</t>
  </si>
  <si>
    <t>Kilińskiego 6</t>
  </si>
  <si>
    <t>Kopernika 8 A</t>
  </si>
  <si>
    <t>Kopernika 9</t>
  </si>
  <si>
    <t>Kopernika 9 A</t>
  </si>
  <si>
    <t>Kościuszki 26</t>
  </si>
  <si>
    <t>Kościuszki 8</t>
  </si>
  <si>
    <t>Kr. Jadwigi 3</t>
  </si>
  <si>
    <t>Magazynowa 23</t>
  </si>
  <si>
    <t>Marcinkowskiego 20</t>
  </si>
  <si>
    <t>Marcinkowskiego 31</t>
  </si>
  <si>
    <t>Marcinkowskiego 34</t>
  </si>
  <si>
    <t>Marcinkowskiego 67</t>
  </si>
  <si>
    <t>Marulewska 31</t>
  </si>
  <si>
    <t>Marulewska 34</t>
  </si>
  <si>
    <t>Marulewska 36</t>
  </si>
  <si>
    <t>Mątewska 11</t>
  </si>
  <si>
    <t>Mątewska 14</t>
  </si>
  <si>
    <t>Mątewska 15</t>
  </si>
  <si>
    <t>Mątewska 25</t>
  </si>
  <si>
    <t>Mątewska 6</t>
  </si>
  <si>
    <t>Mątewska 66 - 68</t>
  </si>
  <si>
    <t>Mątewska 70 - 72</t>
  </si>
  <si>
    <t>Mątewska 75 - 77</t>
  </si>
  <si>
    <t>Miechowicka 34</t>
  </si>
  <si>
    <t>Miechowicka 40</t>
  </si>
  <si>
    <t>Młyńska 29</t>
  </si>
  <si>
    <t>Młyńska 8</t>
  </si>
  <si>
    <t>Narutowicza 16</t>
  </si>
  <si>
    <t>Narutowicza 20</t>
  </si>
  <si>
    <t>Narutowicza 6</t>
  </si>
  <si>
    <t>Narutowicza 9</t>
  </si>
  <si>
    <t>NMP 32</t>
  </si>
  <si>
    <t>Ogrodowa 4</t>
  </si>
  <si>
    <t>Okrężek 1</t>
  </si>
  <si>
    <t>Okrężek 2</t>
  </si>
  <si>
    <t>Okrężek 3</t>
  </si>
  <si>
    <t>Okrężek 4</t>
  </si>
  <si>
    <t>Okrężek 4 - 6</t>
  </si>
  <si>
    <t>Okrężek 5</t>
  </si>
  <si>
    <t>Okrężek 6</t>
  </si>
  <si>
    <t>Okrężek 7</t>
  </si>
  <si>
    <t>Okrężna 5</t>
  </si>
  <si>
    <t xml:space="preserve">Okrężna 79  </t>
  </si>
  <si>
    <t>Orłowska 25</t>
  </si>
  <si>
    <t>Orłowska 39</t>
  </si>
  <si>
    <t>Orłowska 4</t>
  </si>
  <si>
    <t>Orłowska 6</t>
  </si>
  <si>
    <t>Pakoska 1</t>
  </si>
  <si>
    <t>Pakoska 12</t>
  </si>
  <si>
    <t>Pakoska 14</t>
  </si>
  <si>
    <t>Pakoska 7</t>
  </si>
  <si>
    <t>Plac Klasztorny 5</t>
  </si>
  <si>
    <t>Poprzeczna 16</t>
  </si>
  <si>
    <t>Poprzeczna 18</t>
  </si>
  <si>
    <t>Poprzeczna 21</t>
  </si>
  <si>
    <t>Poprzeczna 23</t>
  </si>
  <si>
    <t>Poznańska 12</t>
  </si>
  <si>
    <t>Poznańska 135</t>
  </si>
  <si>
    <t>Poznańska 2</t>
  </si>
  <si>
    <t>Poznańska 298 A</t>
  </si>
  <si>
    <t>Poznańska 318</t>
  </si>
  <si>
    <t>Poznańska 319</t>
  </si>
  <si>
    <t>Poznańska 32</t>
  </si>
  <si>
    <t>Poznańska 33</t>
  </si>
  <si>
    <t>Poznańska 336</t>
  </si>
  <si>
    <t>Poznańska 34</t>
  </si>
  <si>
    <t>Poznańska 350</t>
  </si>
  <si>
    <t>Poznańska 357 A</t>
  </si>
  <si>
    <t>Poznańska 357 B</t>
  </si>
  <si>
    <t>Poznańska 359</t>
  </si>
  <si>
    <t>Poznańska 365</t>
  </si>
  <si>
    <t>Poznańska 367</t>
  </si>
  <si>
    <t>Poznańska 367 A</t>
  </si>
  <si>
    <t>Poznańska 37</t>
  </si>
  <si>
    <t>Poznańska 370</t>
  </si>
  <si>
    <t>Poznańska 389</t>
  </si>
  <si>
    <t>Poznańska 39</t>
  </si>
  <si>
    <t>Poznańska 49</t>
  </si>
  <si>
    <t>Poznańska 4a</t>
  </si>
  <si>
    <t>Poznańska 53</t>
  </si>
  <si>
    <t>Poznańska 92</t>
  </si>
  <si>
    <t>Rąbińska 84</t>
  </si>
  <si>
    <t>Sikorskiego 18 - 20</t>
  </si>
  <si>
    <t>Sikorskiego 22 - 24</t>
  </si>
  <si>
    <t>Sikorskiego 30</t>
  </si>
  <si>
    <t>Składowa 12</t>
  </si>
  <si>
    <t>Składowa 6</t>
  </si>
  <si>
    <t>Składowa 8</t>
  </si>
  <si>
    <t>Skłodowskiej 12 - 14</t>
  </si>
  <si>
    <t>Skłodowskiej 16 - 18</t>
  </si>
  <si>
    <t>Skłodowskiej 20 - 22</t>
  </si>
  <si>
    <t>Skłodowskiej 24 - 26</t>
  </si>
  <si>
    <t>Słoneczna 20</t>
  </si>
  <si>
    <t>Słoneczna 7 - 9</t>
  </si>
  <si>
    <t>Solankowa 43</t>
  </si>
  <si>
    <t>Solankowa 52</t>
  </si>
  <si>
    <t>Solankowa 53</t>
  </si>
  <si>
    <t>Solankowa 9</t>
  </si>
  <si>
    <t>Stare Miasto 38</t>
  </si>
  <si>
    <t>Staropoznańska 108</t>
  </si>
  <si>
    <t>Staropoznańska 149</t>
  </si>
  <si>
    <t>Staszica 22</t>
  </si>
  <si>
    <t>Staszica 24</t>
  </si>
  <si>
    <t>Studzienna 17</t>
  </si>
  <si>
    <t>Studzienna 18</t>
  </si>
  <si>
    <t>Studzienna 20</t>
  </si>
  <si>
    <t>Szeroka 10</t>
  </si>
  <si>
    <t>Szeroka 4</t>
  </si>
  <si>
    <t>Szkolna 3</t>
  </si>
  <si>
    <t>Szosa Bydgoska 16</t>
  </si>
  <si>
    <t>Szymborska 12</t>
  </si>
  <si>
    <t>Szymborska 14</t>
  </si>
  <si>
    <t>Szymborska 31</t>
  </si>
  <si>
    <t>Szymborska 8</t>
  </si>
  <si>
    <t>Szymborska 94</t>
  </si>
  <si>
    <t>Szymborska 96</t>
  </si>
  <si>
    <t>Szymborska 96 B</t>
  </si>
  <si>
    <t>Św. Ducha 29</t>
  </si>
  <si>
    <t>Św. Ducha 31</t>
  </si>
  <si>
    <t>Św. Ducha 38</t>
  </si>
  <si>
    <t>Św. Ducha 40</t>
  </si>
  <si>
    <t>Św. Ducha 54</t>
  </si>
  <si>
    <t>Św. Ducha 77</t>
  </si>
  <si>
    <t>Toruńska 11</t>
  </si>
  <si>
    <t>Toruńska 128</t>
  </si>
  <si>
    <t>Toruńska 18</t>
  </si>
  <si>
    <t>Toruńska 26</t>
  </si>
  <si>
    <t>Toruńska 65</t>
  </si>
  <si>
    <t>Toruńska 67</t>
  </si>
  <si>
    <t>Toruńska 97</t>
  </si>
  <si>
    <t>Wałowa 14</t>
  </si>
  <si>
    <t>Wałowa 16</t>
  </si>
  <si>
    <t>Wałowa 3</t>
  </si>
  <si>
    <t>Wałowa 30</t>
  </si>
  <si>
    <t>Wałowa 32</t>
  </si>
  <si>
    <t>Wałowa 7</t>
  </si>
  <si>
    <t>Wawrzyniaka 13</t>
  </si>
  <si>
    <t>Wawrzyniaka 17</t>
  </si>
  <si>
    <t>Wojska Polskiego 26</t>
  </si>
  <si>
    <t>Wojska Polskiego 28</t>
  </si>
  <si>
    <t>S</t>
  </si>
  <si>
    <t>Wojska Polskiego 32</t>
  </si>
  <si>
    <t>K</t>
  </si>
  <si>
    <t>Wojska Polskiego 46a</t>
  </si>
  <si>
    <t>Wojska Polskiego 46b</t>
  </si>
  <si>
    <t>s</t>
  </si>
  <si>
    <t>Zapadłe 4</t>
  </si>
  <si>
    <t>Ziarniaka 9</t>
  </si>
  <si>
    <t>Słoneczna 6</t>
  </si>
  <si>
    <t>Wojska Polskiego 46</t>
  </si>
  <si>
    <t>średnia 7a</t>
  </si>
  <si>
    <t>Średnia 7a</t>
  </si>
  <si>
    <t>Komunalne i prywatne</t>
  </si>
  <si>
    <t>Budynki w zasobach, nie w podatku</t>
  </si>
  <si>
    <t>m2</t>
  </si>
  <si>
    <t>Zestawienie powierzchni budynków - na 31.12. 2015 rok</t>
  </si>
  <si>
    <t xml:space="preserve"> prywatne</t>
  </si>
  <si>
    <t>Słoneczna 18 / Piękna</t>
  </si>
  <si>
    <t>Kr. Jadwigi 44</t>
  </si>
  <si>
    <t>Wojska Polskiego 46c</t>
  </si>
  <si>
    <t>Zestawienie i budynków komunalnych- na 30.06.2018 rok</t>
  </si>
  <si>
    <t>Zestawienie i budynków prywatnych - 30.06.2018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</si>
</sst>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5" formatCode="_-* #,##0.0000\ _z_ł_-;\-* #,##0.0000\ _z_ł_-;_-* &quot;-&quot;??\ _z_ł_-;_-@_-"/>
  </numFmts>
  <fonts count="64"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1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name val="Arial CE"/>
      <family val="2"/>
      <charset val="238"/>
    </font>
    <font>
      <b/>
      <sz val="10"/>
      <name val="Czcionka tekstu podstawowego"/>
      <charset val="238"/>
    </font>
    <font>
      <b/>
      <sz val="10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sz val="12"/>
      <name val="Czcionka tekstu podstawowego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0070C0"/>
      <name val="Arial CE"/>
      <family val="2"/>
      <charset val="238"/>
    </font>
    <font>
      <sz val="9"/>
      <color theme="1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0070C0"/>
      <name val="Czcionka tekstu podstawowego"/>
      <family val="2"/>
      <charset val="238"/>
    </font>
    <font>
      <b/>
      <sz val="9"/>
      <color rgb="FF0070C0"/>
      <name val="Arial CE"/>
      <family val="2"/>
      <charset val="238"/>
    </font>
    <font>
      <b/>
      <sz val="9"/>
      <color theme="1"/>
      <name val="Czcionka tekstu podstawowego"/>
      <charset val="238"/>
    </font>
    <font>
      <sz val="9"/>
      <color rgb="FF00B0F0"/>
      <name val="Czcionka tekstu podstawowego"/>
      <family val="2"/>
      <charset val="238"/>
    </font>
    <font>
      <b/>
      <sz val="9"/>
      <color rgb="FF00B0F0"/>
      <name val="Arial CE"/>
      <family val="2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0"/>
      <color rgb="FFFF0000"/>
      <name val="Arial CE"/>
      <family val="2"/>
      <charset val="238"/>
    </font>
    <font>
      <b/>
      <sz val="11"/>
      <color rgb="FFC00000"/>
      <name val="Czcionka tekstu podstawowego"/>
      <family val="2"/>
      <charset val="238"/>
    </font>
    <font>
      <b/>
      <sz val="10"/>
      <color rgb="FFC00000"/>
      <name val="Arial CE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2"/>
      <color rgb="FF002060"/>
      <name val="Czcionka tekstu podstawowego"/>
      <charset val="238"/>
    </font>
    <font>
      <sz val="12"/>
      <color rgb="FF002060"/>
      <name val="Czcionka tekstu podstawowego"/>
      <family val="2"/>
      <charset val="238"/>
    </font>
    <font>
      <b/>
      <sz val="12"/>
      <color rgb="FF002060"/>
      <name val="Arial CE"/>
      <family val="2"/>
      <charset val="238"/>
    </font>
    <font>
      <sz val="11"/>
      <color theme="1"/>
      <name val="Czcionka tekstu podstawowego"/>
      <charset val="238"/>
    </font>
    <font>
      <b/>
      <sz val="10"/>
      <color theme="0"/>
      <name val="Arial CE"/>
      <family val="2"/>
      <charset val="238"/>
    </font>
    <font>
      <b/>
      <sz val="10"/>
      <color theme="0"/>
      <name val="Czcionka tekstu podstawowego"/>
      <charset val="238"/>
    </font>
    <font>
      <b/>
      <sz val="11"/>
      <color theme="0"/>
      <name val="Arial CE"/>
      <charset val="238"/>
    </font>
    <font>
      <b/>
      <sz val="11"/>
      <color rgb="FF0070C0"/>
      <name val="Arial"/>
      <family val="2"/>
      <charset val="238"/>
    </font>
    <font>
      <b/>
      <sz val="14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3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43" fontId="2" fillId="0" borderId="3" xfId="0" applyNumberFormat="1" applyFont="1" applyFill="1" applyBorder="1" applyAlignment="1">
      <alignment horizontal="center"/>
    </xf>
    <xf numFmtId="43" fontId="35" fillId="0" borderId="3" xfId="0" applyNumberFormat="1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 applyBorder="1" applyAlignment="1">
      <alignment horizontal="center"/>
    </xf>
    <xf numFmtId="0" fontId="7" fillId="0" borderId="0" xfId="0" applyFont="1" applyFill="1" applyBorder="1"/>
    <xf numFmtId="43" fontId="2" fillId="0" borderId="0" xfId="0" applyNumberFormat="1" applyFont="1" applyFill="1" applyBorder="1" applyAlignment="1">
      <alignment horizontal="center"/>
    </xf>
    <xf numFmtId="43" fontId="31" fillId="0" borderId="0" xfId="1" applyFont="1" applyFill="1" applyBorder="1"/>
    <xf numFmtId="43" fontId="2" fillId="0" borderId="0" xfId="1" applyFont="1" applyFill="1" applyBorder="1"/>
    <xf numFmtId="43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3" fontId="2" fillId="0" borderId="0" xfId="0" applyNumberFormat="1" applyFont="1" applyFill="1"/>
    <xf numFmtId="4" fontId="2" fillId="0" borderId="0" xfId="0" applyNumberFormat="1" applyFont="1" applyFill="1"/>
    <xf numFmtId="43" fontId="31" fillId="0" borderId="0" xfId="1" applyFont="1" applyFill="1"/>
    <xf numFmtId="4" fontId="0" fillId="0" borderId="0" xfId="0" applyNumberFormat="1" applyFill="1"/>
    <xf numFmtId="0" fontId="6" fillId="0" borderId="0" xfId="0" applyFont="1" applyFill="1"/>
    <xf numFmtId="43" fontId="5" fillId="0" borderId="0" xfId="0" applyNumberFormat="1" applyFont="1" applyFill="1"/>
    <xf numFmtId="43" fontId="6" fillId="0" borderId="0" xfId="1" applyFont="1" applyFill="1"/>
    <xf numFmtId="43" fontId="6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3" fontId="9" fillId="0" borderId="0" xfId="0" applyNumberFormat="1" applyFont="1" applyFill="1"/>
    <xf numFmtId="0" fontId="11" fillId="0" borderId="0" xfId="0" applyFont="1" applyFill="1"/>
    <xf numFmtId="0" fontId="36" fillId="0" borderId="3" xfId="0" applyFont="1" applyFill="1" applyBorder="1"/>
    <xf numFmtId="43" fontId="12" fillId="0" borderId="3" xfId="0" applyNumberFormat="1" applyFont="1" applyFill="1" applyBorder="1" applyAlignment="1">
      <alignment horizontal="center"/>
    </xf>
    <xf numFmtId="43" fontId="36" fillId="0" borderId="3" xfId="1" applyFont="1" applyFill="1" applyBorder="1"/>
    <xf numFmtId="43" fontId="12" fillId="0" borderId="3" xfId="1" applyFont="1" applyFill="1" applyBorder="1"/>
    <xf numFmtId="0" fontId="13" fillId="0" borderId="3" xfId="0" applyFont="1" applyFill="1" applyBorder="1"/>
    <xf numFmtId="43" fontId="14" fillId="0" borderId="3" xfId="1" applyFont="1" applyFill="1" applyBorder="1"/>
    <xf numFmtId="43" fontId="37" fillId="0" borderId="3" xfId="1" applyFont="1" applyFill="1" applyBorder="1"/>
    <xf numFmtId="43" fontId="38" fillId="0" borderId="3" xfId="1" applyFont="1" applyFill="1" applyBorder="1"/>
    <xf numFmtId="43" fontId="13" fillId="0" borderId="3" xfId="1" applyFont="1" applyFill="1" applyBorder="1"/>
    <xf numFmtId="0" fontId="15" fillId="0" borderId="3" xfId="0" applyFont="1" applyFill="1" applyBorder="1"/>
    <xf numFmtId="43" fontId="36" fillId="0" borderId="3" xfId="0" applyNumberFormat="1" applyFont="1" applyFill="1" applyBorder="1"/>
    <xf numFmtId="43" fontId="39" fillId="0" borderId="3" xfId="1" applyFont="1" applyFill="1" applyBorder="1"/>
    <xf numFmtId="43" fontId="40" fillId="0" borderId="3" xfId="1" applyFont="1" applyFill="1" applyBorder="1"/>
    <xf numFmtId="0" fontId="14" fillId="0" borderId="0" xfId="0" applyFont="1" applyFill="1" applyBorder="1"/>
    <xf numFmtId="43" fontId="12" fillId="0" borderId="0" xfId="0" applyNumberFormat="1" applyFont="1" applyFill="1" applyBorder="1" applyAlignment="1">
      <alignment horizontal="center"/>
    </xf>
    <xf numFmtId="43" fontId="41" fillId="0" borderId="0" xfId="1" applyFont="1" applyFill="1" applyBorder="1"/>
    <xf numFmtId="43" fontId="36" fillId="0" borderId="0" xfId="1" applyFont="1" applyFill="1" applyBorder="1"/>
    <xf numFmtId="43" fontId="42" fillId="0" borderId="3" xfId="1" applyFont="1" applyFill="1" applyBorder="1"/>
    <xf numFmtId="43" fontId="43" fillId="0" borderId="3" xfId="1" applyFont="1" applyFill="1" applyBorder="1"/>
    <xf numFmtId="43" fontId="16" fillId="0" borderId="3" xfId="1" applyFont="1" applyFill="1" applyBorder="1"/>
    <xf numFmtId="0" fontId="1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43" fontId="17" fillId="0" borderId="6" xfId="1" applyFont="1" applyFill="1" applyBorder="1"/>
    <xf numFmtId="0" fontId="17" fillId="0" borderId="3" xfId="0" applyFont="1" applyFill="1" applyBorder="1"/>
    <xf numFmtId="43" fontId="17" fillId="0" borderId="3" xfId="1" applyFont="1" applyFill="1" applyBorder="1"/>
    <xf numFmtId="43" fontId="17" fillId="0" borderId="3" xfId="0" applyNumberFormat="1" applyFont="1" applyFill="1" applyBorder="1"/>
    <xf numFmtId="0" fontId="18" fillId="0" borderId="3" xfId="0" applyFont="1" applyFill="1" applyBorder="1"/>
    <xf numFmtId="0" fontId="4" fillId="0" borderId="3" xfId="0" applyFont="1" applyFill="1" applyBorder="1"/>
    <xf numFmtId="0" fontId="19" fillId="0" borderId="3" xfId="0" applyFont="1" applyFill="1" applyBorder="1" applyAlignment="1">
      <alignment horizontal="left"/>
    </xf>
    <xf numFmtId="0" fontId="20" fillId="0" borderId="3" xfId="0" applyFont="1" applyFill="1" applyBorder="1"/>
    <xf numFmtId="0" fontId="21" fillId="0" borderId="3" xfId="0" applyFont="1" applyFill="1" applyBorder="1"/>
    <xf numFmtId="0" fontId="22" fillId="0" borderId="3" xfId="0" applyFont="1" applyFill="1" applyBorder="1"/>
    <xf numFmtId="43" fontId="5" fillId="0" borderId="3" xfId="1" applyFont="1" applyFill="1" applyBorder="1"/>
    <xf numFmtId="0" fontId="23" fillId="0" borderId="3" xfId="0" applyFont="1" applyFill="1" applyBorder="1"/>
    <xf numFmtId="0" fontId="34" fillId="0" borderId="3" xfId="0" applyFont="1" applyFill="1" applyBorder="1"/>
    <xf numFmtId="43" fontId="34" fillId="0" borderId="3" xfId="1" applyFont="1" applyFill="1" applyBorder="1"/>
    <xf numFmtId="0" fontId="3" fillId="2" borderId="3" xfId="0" applyFont="1" applyFill="1" applyBorder="1" applyAlignment="1">
      <alignment horizontal="center"/>
    </xf>
    <xf numFmtId="0" fontId="44" fillId="2" borderId="3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16" fillId="0" borderId="3" xfId="0" applyFont="1" applyFill="1" applyBorder="1"/>
    <xf numFmtId="43" fontId="14" fillId="0" borderId="3" xfId="0" applyNumberFormat="1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43" fontId="35" fillId="0" borderId="9" xfId="0" applyNumberFormat="1" applyFont="1" applyFill="1" applyBorder="1" applyAlignment="1">
      <alignment horizontal="center"/>
    </xf>
    <xf numFmtId="43" fontId="36" fillId="0" borderId="9" xfId="1" applyFont="1" applyFill="1" applyBorder="1"/>
    <xf numFmtId="43" fontId="16" fillId="0" borderId="9" xfId="1" applyFont="1" applyFill="1" applyBorder="1"/>
    <xf numFmtId="0" fontId="24" fillId="3" borderId="10" xfId="0" applyFont="1" applyFill="1" applyBorder="1" applyAlignment="1">
      <alignment horizontal="center" vertical="center" wrapText="1"/>
    </xf>
    <xf numFmtId="43" fontId="2" fillId="0" borderId="11" xfId="0" applyNumberFormat="1" applyFont="1" applyFill="1" applyBorder="1" applyAlignment="1">
      <alignment horizontal="center"/>
    </xf>
    <xf numFmtId="43" fontId="36" fillId="0" borderId="11" xfId="1" applyFont="1" applyFill="1" applyBorder="1"/>
    <xf numFmtId="43" fontId="14" fillId="0" borderId="11" xfId="1" applyFont="1" applyFill="1" applyBorder="1"/>
    <xf numFmtId="43" fontId="16" fillId="0" borderId="11" xfId="1" applyFont="1" applyFill="1" applyBorder="1"/>
    <xf numFmtId="43" fontId="13" fillId="0" borderId="11" xfId="1" applyFont="1" applyFill="1" applyBorder="1"/>
    <xf numFmtId="43" fontId="14" fillId="0" borderId="9" xfId="1" applyFont="1" applyFill="1" applyBorder="1"/>
    <xf numFmtId="43" fontId="13" fillId="0" borderId="9" xfId="1" applyFont="1" applyFill="1" applyBorder="1"/>
    <xf numFmtId="43" fontId="45" fillId="0" borderId="3" xfId="1" applyFont="1" applyFill="1" applyBorder="1"/>
    <xf numFmtId="0" fontId="3" fillId="0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center" vertical="center" wrapText="1"/>
    </xf>
    <xf numFmtId="0" fontId="44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4" fillId="5" borderId="7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46" fillId="0" borderId="3" xfId="0" applyFont="1" applyFill="1" applyBorder="1"/>
    <xf numFmtId="0" fontId="46" fillId="0" borderId="3" xfId="0" applyFont="1" applyFill="1" applyBorder="1" applyAlignment="1">
      <alignment horizontal="center"/>
    </xf>
    <xf numFmtId="43" fontId="46" fillId="0" borderId="3" xfId="1" applyFont="1" applyFill="1" applyBorder="1"/>
    <xf numFmtId="43" fontId="46" fillId="0" borderId="3" xfId="0" applyNumberFormat="1" applyFont="1" applyFill="1" applyBorder="1"/>
    <xf numFmtId="43" fontId="31" fillId="0" borderId="3" xfId="1" applyFont="1" applyFill="1" applyBorder="1"/>
    <xf numFmtId="43" fontId="2" fillId="0" borderId="3" xfId="1" applyFont="1" applyFill="1" applyBorder="1"/>
    <xf numFmtId="0" fontId="0" fillId="0" borderId="3" xfId="0" applyFill="1" applyBorder="1"/>
    <xf numFmtId="43" fontId="0" fillId="0" borderId="3" xfId="0" applyNumberFormat="1" applyFill="1" applyBorder="1"/>
    <xf numFmtId="43" fontId="4" fillId="0" borderId="3" xfId="1" applyFont="1" applyFill="1" applyBorder="1"/>
    <xf numFmtId="0" fontId="47" fillId="0" borderId="3" xfId="0" applyFont="1" applyFill="1" applyBorder="1"/>
    <xf numFmtId="43" fontId="46" fillId="0" borderId="6" xfId="1" applyFont="1" applyFill="1" applyBorder="1"/>
    <xf numFmtId="0" fontId="48" fillId="0" borderId="3" xfId="0" applyFont="1" applyFill="1" applyBorder="1"/>
    <xf numFmtId="0" fontId="48" fillId="0" borderId="3" xfId="0" applyFont="1" applyFill="1" applyBorder="1" applyAlignment="1">
      <alignment horizontal="center"/>
    </xf>
    <xf numFmtId="43" fontId="48" fillId="0" borderId="3" xfId="1" applyFont="1" applyFill="1" applyBorder="1"/>
    <xf numFmtId="43" fontId="48" fillId="0" borderId="3" xfId="0" applyNumberFormat="1" applyFont="1" applyFill="1" applyBorder="1"/>
    <xf numFmtId="43" fontId="49" fillId="0" borderId="3" xfId="1" applyFont="1" applyFill="1" applyBorder="1"/>
    <xf numFmtId="43" fontId="2" fillId="0" borderId="3" xfId="1" applyNumberFormat="1" applyFont="1" applyFill="1" applyBorder="1"/>
    <xf numFmtId="0" fontId="50" fillId="0" borderId="3" xfId="0" applyFont="1" applyFill="1" applyBorder="1"/>
    <xf numFmtId="0" fontId="50" fillId="0" borderId="3" xfId="0" applyFont="1" applyFill="1" applyBorder="1" applyAlignment="1">
      <alignment horizontal="center"/>
    </xf>
    <xf numFmtId="43" fontId="50" fillId="0" borderId="3" xfId="1" applyFont="1" applyFill="1" applyBorder="1"/>
    <xf numFmtId="43" fontId="50" fillId="0" borderId="3" xfId="0" applyNumberFormat="1" applyFont="1" applyFill="1" applyBorder="1"/>
    <xf numFmtId="43" fontId="51" fillId="0" borderId="3" xfId="1" applyFont="1" applyFill="1" applyBorder="1"/>
    <xf numFmtId="0" fontId="52" fillId="0" borderId="3" xfId="0" applyFont="1" applyFill="1" applyBorder="1"/>
    <xf numFmtId="43" fontId="52" fillId="0" borderId="0" xfId="1" applyFont="1" applyFill="1" applyBorder="1"/>
    <xf numFmtId="165" fontId="25" fillId="0" borderId="0" xfId="1" applyNumberFormat="1" applyFont="1" applyFill="1" applyBorder="1"/>
    <xf numFmtId="0" fontId="34" fillId="0" borderId="3" xfId="0" applyFont="1" applyFill="1" applyBorder="1" applyAlignment="1">
      <alignment horizontal="center"/>
    </xf>
    <xf numFmtId="43" fontId="34" fillId="0" borderId="3" xfId="0" applyNumberFormat="1" applyFont="1" applyFill="1" applyBorder="1"/>
    <xf numFmtId="0" fontId="53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0" fontId="54" fillId="0" borderId="0" xfId="0" applyFont="1" applyFill="1" applyBorder="1" applyAlignment="1">
      <alignment horizontal="center"/>
    </xf>
    <xf numFmtId="43" fontId="54" fillId="0" borderId="0" xfId="1" applyFont="1" applyFill="1" applyBorder="1"/>
    <xf numFmtId="0" fontId="54" fillId="0" borderId="0" xfId="0" applyFont="1" applyFill="1"/>
    <xf numFmtId="43" fontId="54" fillId="0" borderId="0" xfId="0" applyNumberFormat="1" applyFont="1" applyFill="1"/>
    <xf numFmtId="43" fontId="31" fillId="0" borderId="0" xfId="1" applyFont="1" applyFill="1" applyBorder="1"/>
    <xf numFmtId="0" fontId="55" fillId="0" borderId="3" xfId="0" applyFont="1" applyFill="1" applyBorder="1"/>
    <xf numFmtId="0" fontId="56" fillId="0" borderId="3" xfId="0" applyFont="1" applyFill="1" applyBorder="1" applyAlignment="1">
      <alignment horizontal="center"/>
    </xf>
    <xf numFmtId="43" fontId="57" fillId="0" borderId="3" xfId="0" applyNumberFormat="1" applyFont="1" applyFill="1" applyBorder="1" applyAlignment="1">
      <alignment horizontal="center"/>
    </xf>
    <xf numFmtId="43" fontId="4" fillId="0" borderId="3" xfId="0" applyNumberFormat="1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58" fillId="0" borderId="0" xfId="0" applyFont="1" applyFill="1"/>
    <xf numFmtId="0" fontId="33" fillId="0" borderId="0" xfId="0" applyFont="1" applyFill="1"/>
    <xf numFmtId="43" fontId="2" fillId="0" borderId="12" xfId="1" applyFont="1" applyFill="1" applyBorder="1"/>
    <xf numFmtId="43" fontId="49" fillId="0" borderId="12" xfId="1" applyFont="1" applyFill="1" applyBorder="1"/>
    <xf numFmtId="43" fontId="2" fillId="0" borderId="12" xfId="1" applyNumberFormat="1" applyFont="1" applyFill="1" applyBorder="1"/>
    <xf numFmtId="43" fontId="51" fillId="0" borderId="12" xfId="1" applyFont="1" applyFill="1" applyBorder="1"/>
    <xf numFmtId="43" fontId="2" fillId="0" borderId="12" xfId="0" applyNumberFormat="1" applyFont="1" applyFill="1" applyBorder="1" applyAlignment="1">
      <alignment horizontal="center"/>
    </xf>
    <xf numFmtId="43" fontId="50" fillId="0" borderId="11" xfId="1" applyFont="1" applyFill="1" applyBorder="1"/>
    <xf numFmtId="0" fontId="17" fillId="0" borderId="0" xfId="0" applyFont="1" applyFill="1" applyBorder="1" applyAlignment="1">
      <alignment horizontal="center"/>
    </xf>
    <xf numFmtId="0" fontId="44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43" fontId="26" fillId="0" borderId="13" xfId="0" applyNumberFormat="1" applyFont="1" applyFill="1" applyBorder="1" applyAlignment="1">
      <alignment horizontal="center"/>
    </xf>
    <xf numFmtId="43" fontId="17" fillId="0" borderId="0" xfId="1" applyFont="1" applyFill="1" applyBorder="1" applyAlignment="1"/>
    <xf numFmtId="0" fontId="0" fillId="0" borderId="12" xfId="0" applyFill="1" applyBorder="1" applyAlignment="1">
      <alignment horizontal="center"/>
    </xf>
    <xf numFmtId="0" fontId="59" fillId="7" borderId="3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 wrapText="1"/>
    </xf>
    <xf numFmtId="0" fontId="60" fillId="7" borderId="3" xfId="0" applyFont="1" applyFill="1" applyBorder="1" applyAlignment="1">
      <alignment horizontal="center" vertical="center" wrapText="1"/>
    </xf>
    <xf numFmtId="0" fontId="61" fillId="7" borderId="3" xfId="0" applyFont="1" applyFill="1" applyBorder="1" applyAlignment="1">
      <alignment horizontal="center" vertical="center"/>
    </xf>
    <xf numFmtId="0" fontId="59" fillId="7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/>
    </xf>
    <xf numFmtId="0" fontId="53" fillId="0" borderId="3" xfId="0" applyFont="1" applyFill="1" applyBorder="1"/>
    <xf numFmtId="0" fontId="30" fillId="0" borderId="3" xfId="0" applyFont="1" applyFill="1" applyBorder="1"/>
    <xf numFmtId="0" fontId="29" fillId="0" borderId="3" xfId="0" applyFont="1" applyFill="1" applyBorder="1"/>
    <xf numFmtId="0" fontId="53" fillId="0" borderId="3" xfId="0" applyFont="1" applyFill="1" applyBorder="1" applyAlignment="1">
      <alignment horizontal="center"/>
    </xf>
    <xf numFmtId="0" fontId="45" fillId="0" borderId="3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44" fillId="4" borderId="12" xfId="0" applyFont="1" applyFill="1" applyBorder="1" applyAlignment="1">
      <alignment horizontal="center" vertical="center" wrapText="1"/>
    </xf>
    <xf numFmtId="0" fontId="44" fillId="4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/>
    </xf>
    <xf numFmtId="0" fontId="62" fillId="0" borderId="1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/>
    </xf>
    <xf numFmtId="0" fontId="44" fillId="2" borderId="12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4" fillId="5" borderId="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63" fillId="0" borderId="2" xfId="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61" fillId="7" borderId="3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opLeftCell="A31" zoomScaleNormal="100" workbookViewId="0">
      <selection activeCell="D84" sqref="D84"/>
    </sheetView>
  </sheetViews>
  <sheetFormatPr defaultColWidth="12" defaultRowHeight="14.25"/>
  <cols>
    <col min="1" max="1" width="4.25" style="4" customWidth="1"/>
    <col min="2" max="2" width="28.625" style="4" customWidth="1"/>
    <col min="3" max="3" width="17.125" style="4" customWidth="1"/>
    <col min="4" max="4" width="18.875" style="4" customWidth="1"/>
    <col min="5" max="225" width="9" style="4" customWidth="1"/>
    <col min="226" max="226" width="4.25" style="4" customWidth="1"/>
    <col min="227" max="227" width="28.625" style="4" customWidth="1"/>
    <col min="228" max="228" width="4.875" style="4" customWidth="1"/>
    <col min="229" max="229" width="12.625" style="4" customWidth="1"/>
    <col min="230" max="230" width="17.125" style="4" customWidth="1"/>
    <col min="231" max="231" width="16.75" style="4" customWidth="1"/>
    <col min="232" max="232" width="18" style="4" customWidth="1"/>
    <col min="233" max="233" width="16.25" style="4" customWidth="1"/>
    <col min="234" max="234" width="15.5" style="4" customWidth="1"/>
    <col min="235" max="236" width="12" style="4" customWidth="1"/>
    <col min="237" max="237" width="13.5" style="4" customWidth="1"/>
    <col min="238" max="238" width="17" style="4" customWidth="1"/>
    <col min="239" max="239" width="12" style="4" customWidth="1"/>
    <col min="240" max="240" width="14.75" style="4" customWidth="1"/>
    <col min="241" max="16384" width="12" style="4"/>
  </cols>
  <sheetData>
    <row r="1" spans="1:4" ht="15.75">
      <c r="A1" s="2" t="s">
        <v>153</v>
      </c>
      <c r="B1" s="2"/>
    </row>
    <row r="2" spans="1:4" ht="15" thickBot="1">
      <c r="A2" s="1"/>
      <c r="C2" s="4" t="s">
        <v>0</v>
      </c>
    </row>
    <row r="3" spans="1:4" ht="15">
      <c r="A3" s="169" t="s">
        <v>2</v>
      </c>
      <c r="B3" s="169" t="s">
        <v>3</v>
      </c>
      <c r="C3" s="172" t="s">
        <v>232</v>
      </c>
      <c r="D3" s="172"/>
    </row>
    <row r="4" spans="1:4" ht="15">
      <c r="A4" s="170"/>
      <c r="B4" s="170"/>
      <c r="C4" s="93" t="s">
        <v>8</v>
      </c>
      <c r="D4" s="72" t="s">
        <v>6</v>
      </c>
    </row>
    <row r="5" spans="1:4" ht="12.75" customHeight="1">
      <c r="A5" s="171"/>
      <c r="B5" s="171"/>
      <c r="C5" s="94"/>
      <c r="D5" s="73"/>
    </row>
    <row r="6" spans="1:4" ht="12.75" customHeight="1" thickBot="1">
      <c r="A6" s="10"/>
      <c r="B6" s="9" t="s">
        <v>3</v>
      </c>
      <c r="C6" s="95" t="s">
        <v>14</v>
      </c>
      <c r="D6" s="74" t="s">
        <v>14</v>
      </c>
    </row>
    <row r="7" spans="1:4">
      <c r="A7" s="56">
        <v>1</v>
      </c>
      <c r="B7" s="59" t="s">
        <v>155</v>
      </c>
      <c r="C7" s="58">
        <f>60.3+60.3+60.3</f>
        <v>180.89999999999998</v>
      </c>
      <c r="D7" s="58">
        <f>108.8+54.8</f>
        <v>163.6</v>
      </c>
    </row>
    <row r="8" spans="1:4">
      <c r="A8" s="56">
        <v>2</v>
      </c>
      <c r="B8" s="62" t="s">
        <v>156</v>
      </c>
      <c r="C8" s="60">
        <v>61.7</v>
      </c>
      <c r="D8" s="60">
        <v>96.2</v>
      </c>
    </row>
    <row r="9" spans="1:4">
      <c r="A9" s="56">
        <v>3</v>
      </c>
      <c r="B9" s="63" t="s">
        <v>157</v>
      </c>
      <c r="C9" s="60">
        <v>60.3</v>
      </c>
      <c r="D9" s="60">
        <v>54.7</v>
      </c>
    </row>
    <row r="10" spans="1:4">
      <c r="A10" s="56">
        <v>4</v>
      </c>
      <c r="B10" s="59" t="s">
        <v>166</v>
      </c>
      <c r="C10" s="60">
        <v>47.73</v>
      </c>
      <c r="D10" s="60">
        <v>68.08</v>
      </c>
    </row>
    <row r="11" spans="1:4">
      <c r="A11" s="56">
        <v>5</v>
      </c>
      <c r="B11" s="57" t="s">
        <v>158</v>
      </c>
      <c r="C11" s="61">
        <v>48.45</v>
      </c>
      <c r="D11" s="60">
        <v>69.7</v>
      </c>
    </row>
    <row r="12" spans="1:4">
      <c r="A12" s="56">
        <v>6</v>
      </c>
      <c r="B12" s="57" t="s">
        <v>154</v>
      </c>
      <c r="C12" s="61">
        <v>65.67</v>
      </c>
      <c r="D12" s="60">
        <v>95.2</v>
      </c>
    </row>
    <row r="13" spans="1:4">
      <c r="A13" s="56">
        <v>7</v>
      </c>
      <c r="B13" s="57" t="s">
        <v>159</v>
      </c>
      <c r="C13" s="61">
        <f>447.29-48.5-48.5-36.03</f>
        <v>314.26</v>
      </c>
      <c r="D13" s="60">
        <f>169.1-21-15.59</f>
        <v>132.51</v>
      </c>
    </row>
    <row r="14" spans="1:4">
      <c r="A14" s="56">
        <v>8</v>
      </c>
      <c r="B14" s="57" t="s">
        <v>160</v>
      </c>
      <c r="C14" s="61">
        <v>47.15</v>
      </c>
      <c r="D14" s="60">
        <v>64.540000000000006</v>
      </c>
    </row>
    <row r="15" spans="1:4">
      <c r="A15" s="56">
        <v>9</v>
      </c>
      <c r="B15" s="64" t="s">
        <v>163</v>
      </c>
      <c r="C15" s="61">
        <v>168.7</v>
      </c>
      <c r="D15" s="60">
        <v>194.4</v>
      </c>
    </row>
    <row r="16" spans="1:4">
      <c r="A16" s="56">
        <v>10</v>
      </c>
      <c r="B16" s="64" t="s">
        <v>164</v>
      </c>
      <c r="C16" s="61">
        <f>108.3-60.2</f>
        <v>48.099999999999994</v>
      </c>
      <c r="D16" s="60">
        <f>140.6-70</f>
        <v>70.599999999999994</v>
      </c>
    </row>
    <row r="17" spans="1:4">
      <c r="A17" s="56">
        <v>11</v>
      </c>
      <c r="B17" s="64" t="s">
        <v>165</v>
      </c>
      <c r="C17" s="61">
        <f>120.4-60.2</f>
        <v>60.2</v>
      </c>
      <c r="D17" s="60">
        <v>57.6</v>
      </c>
    </row>
    <row r="18" spans="1:4">
      <c r="A18" s="56">
        <v>12</v>
      </c>
      <c r="B18" s="57" t="s">
        <v>161</v>
      </c>
      <c r="C18" s="61">
        <v>48</v>
      </c>
      <c r="D18" s="60">
        <v>57.26</v>
      </c>
    </row>
    <row r="19" spans="1:4">
      <c r="A19" s="56">
        <v>13</v>
      </c>
      <c r="B19" s="64" t="s">
        <v>162</v>
      </c>
      <c r="C19" s="61">
        <v>42.78</v>
      </c>
      <c r="D19" s="60">
        <v>43.7</v>
      </c>
    </row>
    <row r="20" spans="1:4">
      <c r="A20" s="56">
        <v>14</v>
      </c>
      <c r="B20" s="59" t="s">
        <v>167</v>
      </c>
      <c r="C20" s="60">
        <f>541.9-47.9-60.4-48.2-48.2</f>
        <v>337.20000000000005</v>
      </c>
      <c r="D20" s="60">
        <f>573-27-36-62-60</f>
        <v>388</v>
      </c>
    </row>
    <row r="21" spans="1:4">
      <c r="A21" s="56">
        <v>15</v>
      </c>
      <c r="B21" s="59" t="s">
        <v>168</v>
      </c>
      <c r="C21" s="60">
        <f>48.4+60.3</f>
        <v>108.69999999999999</v>
      </c>
      <c r="D21" s="60">
        <f>54.1+64.65</f>
        <v>118.75</v>
      </c>
    </row>
    <row r="22" spans="1:4">
      <c r="A22" s="56">
        <v>16</v>
      </c>
      <c r="B22" s="59" t="s">
        <v>223</v>
      </c>
      <c r="C22" s="60">
        <v>173.8</v>
      </c>
      <c r="D22" s="60">
        <v>222</v>
      </c>
    </row>
    <row r="23" spans="1:4">
      <c r="A23" s="56">
        <v>17</v>
      </c>
      <c r="B23" s="59" t="s">
        <v>230</v>
      </c>
      <c r="C23" s="60">
        <f>643.18-48.75-57.48+57.66-48.17-32.3-57.48</f>
        <v>456.65999999999997</v>
      </c>
      <c r="D23" s="60">
        <f>760.04-62-41-74</f>
        <v>583.04</v>
      </c>
    </row>
    <row r="24" spans="1:4">
      <c r="A24" s="56">
        <v>18</v>
      </c>
      <c r="B24" s="59" t="s">
        <v>169</v>
      </c>
      <c r="C24" s="60">
        <v>36.04</v>
      </c>
      <c r="D24" s="60">
        <v>26.8</v>
      </c>
    </row>
    <row r="25" spans="1:4">
      <c r="A25" s="56">
        <v>19</v>
      </c>
      <c r="B25" s="59" t="s">
        <v>170</v>
      </c>
      <c r="C25" s="60">
        <f>129.4-38.1-45.3</f>
        <v>46.000000000000014</v>
      </c>
      <c r="D25" s="60">
        <f>120.4-56.73</f>
        <v>63.670000000000009</v>
      </c>
    </row>
    <row r="26" spans="1:4">
      <c r="A26" s="56">
        <v>20</v>
      </c>
      <c r="B26" s="59" t="s">
        <v>171</v>
      </c>
      <c r="C26" s="60">
        <v>38.74</v>
      </c>
      <c r="D26" s="60">
        <v>54.4</v>
      </c>
    </row>
    <row r="27" spans="1:4">
      <c r="A27" s="56">
        <v>21</v>
      </c>
      <c r="B27" s="59" t="s">
        <v>172</v>
      </c>
      <c r="C27" s="60">
        <f>438.53-0.2</f>
        <v>438.33</v>
      </c>
      <c r="D27" s="60">
        <v>785</v>
      </c>
    </row>
    <row r="28" spans="1:4">
      <c r="A28" s="56">
        <v>22</v>
      </c>
      <c r="B28" s="59" t="s">
        <v>173</v>
      </c>
      <c r="C28" s="60">
        <f>38.74+47.87</f>
        <v>86.61</v>
      </c>
      <c r="D28" s="60">
        <f>57.5+70.22</f>
        <v>127.72</v>
      </c>
    </row>
    <row r="29" spans="1:4">
      <c r="A29" s="56">
        <v>23</v>
      </c>
      <c r="B29" s="59" t="s">
        <v>174</v>
      </c>
      <c r="C29" s="60">
        <v>32.04</v>
      </c>
      <c r="D29" s="60">
        <v>40.72</v>
      </c>
    </row>
    <row r="30" spans="1:4">
      <c r="A30" s="56">
        <v>24</v>
      </c>
      <c r="B30" s="59" t="s">
        <v>175</v>
      </c>
      <c r="C30" s="60">
        <v>63.12</v>
      </c>
      <c r="D30" s="60">
        <v>26.5</v>
      </c>
    </row>
    <row r="31" spans="1:4">
      <c r="A31" s="56">
        <v>25</v>
      </c>
      <c r="B31" s="59" t="s">
        <v>176</v>
      </c>
      <c r="C31" s="60">
        <f>53.62+1.26+27.76</f>
        <v>82.64</v>
      </c>
      <c r="D31" s="60">
        <f>39.4+18.17</f>
        <v>57.57</v>
      </c>
    </row>
    <row r="32" spans="1:4">
      <c r="A32" s="56">
        <v>26</v>
      </c>
      <c r="B32" s="59" t="s">
        <v>177</v>
      </c>
      <c r="C32" s="60">
        <v>60.2</v>
      </c>
      <c r="D32" s="60">
        <v>62.5</v>
      </c>
    </row>
    <row r="33" spans="1:4">
      <c r="A33" s="56">
        <v>27</v>
      </c>
      <c r="B33" s="59" t="s">
        <v>178</v>
      </c>
      <c r="C33" s="60">
        <v>60.3</v>
      </c>
      <c r="D33" s="60">
        <v>56.4</v>
      </c>
    </row>
    <row r="34" spans="1:4">
      <c r="A34" s="56">
        <v>28</v>
      </c>
      <c r="B34" s="59" t="s">
        <v>220</v>
      </c>
      <c r="C34" s="60">
        <v>32.04</v>
      </c>
      <c r="D34" s="60">
        <v>36.880000000000003</v>
      </c>
    </row>
    <row r="35" spans="1:4">
      <c r="A35" s="56">
        <v>29</v>
      </c>
      <c r="B35" s="59" t="s">
        <v>221</v>
      </c>
      <c r="C35" s="60">
        <v>134.47999999999999</v>
      </c>
      <c r="D35" s="60">
        <v>160.4</v>
      </c>
    </row>
    <row r="36" spans="1:4">
      <c r="A36" s="56">
        <v>30</v>
      </c>
      <c r="B36" s="59" t="s">
        <v>179</v>
      </c>
      <c r="C36" s="60">
        <f>157.5-48.4-60.7</f>
        <v>48.399999999999991</v>
      </c>
      <c r="D36" s="60">
        <f>179.2-57-67</f>
        <v>55.199999999999989</v>
      </c>
    </row>
    <row r="37" spans="1:4">
      <c r="A37" s="56">
        <v>31</v>
      </c>
      <c r="B37" s="65" t="s">
        <v>181</v>
      </c>
      <c r="C37" s="60">
        <v>60.69</v>
      </c>
      <c r="D37" s="60">
        <v>99.55</v>
      </c>
    </row>
    <row r="38" spans="1:4">
      <c r="A38" s="56">
        <v>32</v>
      </c>
      <c r="B38" s="59" t="s">
        <v>180</v>
      </c>
      <c r="C38" s="60">
        <v>60.1</v>
      </c>
      <c r="D38" s="60">
        <v>54.4</v>
      </c>
    </row>
    <row r="39" spans="1:4">
      <c r="A39" s="56">
        <v>33</v>
      </c>
      <c r="B39" s="59" t="s">
        <v>182</v>
      </c>
      <c r="C39" s="60">
        <f>191.16-60.77-60.77</f>
        <v>69.619999999999976</v>
      </c>
      <c r="D39" s="60">
        <f>95-43</f>
        <v>52</v>
      </c>
    </row>
    <row r="40" spans="1:4">
      <c r="A40" s="56">
        <v>34</v>
      </c>
      <c r="B40" s="59" t="s">
        <v>183</v>
      </c>
      <c r="C40" s="60">
        <v>121.54</v>
      </c>
      <c r="D40" s="60">
        <v>104.5</v>
      </c>
    </row>
    <row r="41" spans="1:4" ht="15">
      <c r="A41" s="56">
        <v>35</v>
      </c>
      <c r="B41" s="66" t="s">
        <v>184</v>
      </c>
      <c r="C41" s="60">
        <v>46.19</v>
      </c>
      <c r="D41" s="60">
        <v>28.51</v>
      </c>
    </row>
    <row r="42" spans="1:4" ht="15">
      <c r="A42" s="56">
        <v>36</v>
      </c>
      <c r="B42" s="66" t="s">
        <v>185</v>
      </c>
      <c r="C42" s="60">
        <v>48.67</v>
      </c>
      <c r="D42" s="60">
        <v>22.21</v>
      </c>
    </row>
    <row r="43" spans="1:4">
      <c r="A43" s="56">
        <v>37</v>
      </c>
      <c r="B43" s="59" t="s">
        <v>224</v>
      </c>
      <c r="C43" s="60">
        <v>132.16</v>
      </c>
      <c r="D43" s="60">
        <v>261.29000000000002</v>
      </c>
    </row>
    <row r="44" spans="1:4">
      <c r="A44" s="56">
        <v>38</v>
      </c>
      <c r="B44" s="59" t="s">
        <v>225</v>
      </c>
      <c r="C44" s="60">
        <v>404.8</v>
      </c>
      <c r="D44" s="60">
        <v>418.75</v>
      </c>
    </row>
    <row r="45" spans="1:4">
      <c r="A45" s="56">
        <v>39</v>
      </c>
      <c r="B45" s="59" t="s">
        <v>186</v>
      </c>
      <c r="C45" s="60">
        <f>397.45-78.02+32.3</f>
        <v>351.73</v>
      </c>
      <c r="D45" s="60">
        <f>176.3+16</f>
        <v>192.3</v>
      </c>
    </row>
    <row r="46" spans="1:4">
      <c r="A46" s="56">
        <v>40</v>
      </c>
      <c r="B46" s="59" t="s">
        <v>187</v>
      </c>
      <c r="C46" s="60">
        <f>245.67+32.3-32.3</f>
        <v>245.66999999999996</v>
      </c>
      <c r="D46" s="60">
        <f>149.2+3.6-17</f>
        <v>135.79999999999998</v>
      </c>
    </row>
    <row r="47" spans="1:4">
      <c r="A47" s="56">
        <v>41</v>
      </c>
      <c r="B47" s="59" t="s">
        <v>188</v>
      </c>
      <c r="C47" s="60">
        <f>77.48+32.04</f>
        <v>109.52000000000001</v>
      </c>
      <c r="D47" s="60">
        <f>115.3+47.22</f>
        <v>162.51999999999998</v>
      </c>
    </row>
    <row r="48" spans="1:4">
      <c r="A48" s="56">
        <v>42</v>
      </c>
      <c r="B48" s="59" t="s">
        <v>226</v>
      </c>
      <c r="C48" s="60">
        <v>95.97</v>
      </c>
      <c r="D48" s="68">
        <v>112</v>
      </c>
    </row>
    <row r="49" spans="1:4">
      <c r="A49" s="56">
        <v>43</v>
      </c>
      <c r="B49" s="59" t="s">
        <v>189</v>
      </c>
      <c r="C49" s="60">
        <v>97</v>
      </c>
      <c r="D49" s="60">
        <v>91.7</v>
      </c>
    </row>
    <row r="50" spans="1:4">
      <c r="A50" s="56">
        <v>44</v>
      </c>
      <c r="B50" s="59" t="s">
        <v>190</v>
      </c>
      <c r="C50" s="60">
        <f>293.87-33.16</f>
        <v>260.71000000000004</v>
      </c>
      <c r="D50" s="60">
        <v>266</v>
      </c>
    </row>
    <row r="51" spans="1:4">
      <c r="A51" s="56">
        <v>45</v>
      </c>
      <c r="B51" s="59" t="s">
        <v>191</v>
      </c>
      <c r="C51" s="60">
        <f>298.49-38.72</f>
        <v>259.77</v>
      </c>
      <c r="D51" s="60">
        <v>269</v>
      </c>
    </row>
    <row r="52" spans="1:4">
      <c r="A52" s="56">
        <v>46</v>
      </c>
      <c r="B52" s="62" t="s">
        <v>192</v>
      </c>
      <c r="C52" s="60">
        <v>35.97</v>
      </c>
      <c r="D52" s="60">
        <v>30.1</v>
      </c>
    </row>
    <row r="53" spans="1:4">
      <c r="A53" s="56">
        <v>47</v>
      </c>
      <c r="B53" s="59" t="s">
        <v>193</v>
      </c>
      <c r="C53" s="60">
        <v>24.97</v>
      </c>
      <c r="D53" s="60">
        <v>18.600000000000001</v>
      </c>
    </row>
    <row r="54" spans="1:4">
      <c r="A54" s="56">
        <v>48</v>
      </c>
      <c r="B54" s="59" t="s">
        <v>194</v>
      </c>
      <c r="C54" s="60">
        <v>36.61</v>
      </c>
      <c r="D54" s="60">
        <v>24</v>
      </c>
    </row>
    <row r="55" spans="1:4">
      <c r="A55" s="56">
        <v>49</v>
      </c>
      <c r="B55" s="59" t="s">
        <v>195</v>
      </c>
      <c r="C55" s="60">
        <f>232.45-47.87</f>
        <v>184.57999999999998</v>
      </c>
      <c r="D55" s="60">
        <v>274</v>
      </c>
    </row>
    <row r="56" spans="1:4">
      <c r="A56" s="56">
        <v>50</v>
      </c>
      <c r="B56" s="59" t="s">
        <v>196</v>
      </c>
      <c r="C56" s="60">
        <v>47.87</v>
      </c>
      <c r="D56" s="60">
        <v>43.1</v>
      </c>
    </row>
    <row r="57" spans="1:4">
      <c r="A57" s="56">
        <v>51</v>
      </c>
      <c r="B57" s="59" t="s">
        <v>197</v>
      </c>
      <c r="C57" s="60">
        <f>221.3-0.05-38.7-47.87</f>
        <v>134.68</v>
      </c>
      <c r="D57" s="60">
        <f>233.4-45-50</f>
        <v>138.4</v>
      </c>
    </row>
    <row r="58" spans="1:4">
      <c r="A58" s="56">
        <v>52</v>
      </c>
      <c r="B58" s="59" t="s">
        <v>198</v>
      </c>
      <c r="C58" s="60">
        <f>288.62+0.12-37.94</f>
        <v>250.8</v>
      </c>
      <c r="D58" s="60">
        <f>227.1-30</f>
        <v>197.1</v>
      </c>
    </row>
    <row r="59" spans="1:4">
      <c r="A59" s="56">
        <v>53</v>
      </c>
      <c r="B59" s="59" t="s">
        <v>199</v>
      </c>
      <c r="C59" s="60">
        <v>36.04</v>
      </c>
      <c r="D59" s="60">
        <v>30.13</v>
      </c>
    </row>
    <row r="60" spans="1:4">
      <c r="A60" s="56">
        <v>54</v>
      </c>
      <c r="B60" s="59" t="s">
        <v>200</v>
      </c>
      <c r="C60" s="60">
        <v>44.97</v>
      </c>
      <c r="D60" s="60">
        <v>40.4</v>
      </c>
    </row>
    <row r="61" spans="1:4">
      <c r="A61" s="56">
        <v>55</v>
      </c>
      <c r="B61" s="59" t="s">
        <v>201</v>
      </c>
      <c r="C61" s="60">
        <v>36.090000000000003</v>
      </c>
      <c r="D61" s="60">
        <v>28.6</v>
      </c>
    </row>
    <row r="62" spans="1:4">
      <c r="A62" s="56">
        <v>56</v>
      </c>
      <c r="B62" s="59" t="s">
        <v>202</v>
      </c>
      <c r="C62" s="60">
        <v>36.049999999999997</v>
      </c>
      <c r="D62" s="60">
        <v>28.9</v>
      </c>
    </row>
    <row r="63" spans="1:4">
      <c r="A63" s="56">
        <v>57</v>
      </c>
      <c r="B63" s="59" t="s">
        <v>203</v>
      </c>
      <c r="C63" s="60">
        <v>172.6</v>
      </c>
      <c r="D63" s="60">
        <v>226</v>
      </c>
    </row>
    <row r="64" spans="1:4">
      <c r="A64" s="56">
        <v>58</v>
      </c>
      <c r="B64" s="59" t="s">
        <v>205</v>
      </c>
      <c r="C64" s="60">
        <f>100.25-50.19</f>
        <v>50.06</v>
      </c>
      <c r="D64" s="60">
        <f>635.7-311</f>
        <v>324.70000000000005</v>
      </c>
    </row>
    <row r="65" spans="1:4">
      <c r="A65" s="56">
        <v>59</v>
      </c>
      <c r="B65" s="59" t="s">
        <v>206</v>
      </c>
      <c r="C65" s="60">
        <v>46.9</v>
      </c>
      <c r="D65" s="60">
        <v>754</v>
      </c>
    </row>
    <row r="66" spans="1:4">
      <c r="A66" s="56">
        <v>60</v>
      </c>
      <c r="B66" s="59" t="s">
        <v>207</v>
      </c>
      <c r="C66" s="60">
        <f>100-50</f>
        <v>50</v>
      </c>
      <c r="D66" s="60">
        <f>589-293.05</f>
        <v>295.95</v>
      </c>
    </row>
    <row r="67" spans="1:4" ht="15">
      <c r="A67" s="56">
        <v>61</v>
      </c>
      <c r="B67" s="67" t="s">
        <v>208</v>
      </c>
      <c r="C67" s="60">
        <v>44.84</v>
      </c>
      <c r="D67" s="60">
        <v>32.229999999999997</v>
      </c>
    </row>
    <row r="68" spans="1:4">
      <c r="A68" s="56">
        <v>62</v>
      </c>
      <c r="B68" s="59" t="s">
        <v>209</v>
      </c>
      <c r="C68" s="60">
        <f>36.56+45.82+45.25</f>
        <v>127.63</v>
      </c>
      <c r="D68" s="60">
        <f>69.37+38.27</f>
        <v>107.64000000000001</v>
      </c>
    </row>
    <row r="69" spans="1:4">
      <c r="A69" s="56">
        <v>63</v>
      </c>
      <c r="B69" s="59" t="s">
        <v>210</v>
      </c>
      <c r="C69" s="60">
        <v>35.49</v>
      </c>
      <c r="D69" s="60">
        <v>28.4</v>
      </c>
    </row>
    <row r="70" spans="1:4">
      <c r="A70" s="56">
        <v>64</v>
      </c>
      <c r="B70" s="59" t="s">
        <v>211</v>
      </c>
      <c r="C70" s="60">
        <f>693.24+47.87-38.94-38.7-38.7-56.97-38.7</f>
        <v>529.09999999999991</v>
      </c>
      <c r="D70" s="60">
        <f>619-31-32-45-31</f>
        <v>480</v>
      </c>
    </row>
    <row r="71" spans="1:4">
      <c r="A71" s="56">
        <v>65</v>
      </c>
      <c r="B71" s="59" t="s">
        <v>204</v>
      </c>
      <c r="C71" s="60">
        <v>110.24</v>
      </c>
      <c r="D71" s="60">
        <v>294</v>
      </c>
    </row>
    <row r="72" spans="1:4">
      <c r="A72" s="56">
        <v>66</v>
      </c>
      <c r="B72" s="59" t="s">
        <v>212</v>
      </c>
      <c r="C72" s="60">
        <v>86.7</v>
      </c>
      <c r="D72" s="60">
        <v>135.19999999999999</v>
      </c>
    </row>
    <row r="73" spans="1:4">
      <c r="A73" s="56">
        <v>67</v>
      </c>
      <c r="B73" s="59" t="s">
        <v>213</v>
      </c>
      <c r="C73" s="60">
        <v>40.950000000000003</v>
      </c>
      <c r="D73" s="60">
        <v>52</v>
      </c>
    </row>
    <row r="74" spans="1:4">
      <c r="A74" s="56">
        <v>68</v>
      </c>
      <c r="B74" s="70" t="s">
        <v>227</v>
      </c>
      <c r="C74" s="71">
        <v>109</v>
      </c>
      <c r="D74" s="71">
        <v>326</v>
      </c>
    </row>
    <row r="75" spans="1:4">
      <c r="A75" s="56">
        <v>69</v>
      </c>
      <c r="B75" s="59" t="s">
        <v>218</v>
      </c>
      <c r="C75" s="60">
        <f>60.83+48.58</f>
        <v>109.41</v>
      </c>
      <c r="D75" s="60">
        <f>92.45+73.02</f>
        <v>165.47</v>
      </c>
    </row>
    <row r="76" spans="1:4">
      <c r="A76" s="56">
        <v>70</v>
      </c>
      <c r="B76" s="59" t="s">
        <v>214</v>
      </c>
      <c r="C76" s="60">
        <f>60.8+0.03</f>
        <v>60.83</v>
      </c>
      <c r="D76" s="60">
        <v>81.2</v>
      </c>
    </row>
    <row r="77" spans="1:4">
      <c r="A77" s="56">
        <v>71</v>
      </c>
      <c r="B77" s="59" t="s">
        <v>215</v>
      </c>
      <c r="C77" s="60">
        <f>340.41+0.01+0.09-0.03-60.83-48.58-48.58</f>
        <v>182.49000000000007</v>
      </c>
      <c r="D77" s="60">
        <f>371-66.26-54-53</f>
        <v>197.74</v>
      </c>
    </row>
    <row r="78" spans="1:4">
      <c r="A78" s="56">
        <v>72</v>
      </c>
      <c r="B78" s="59" t="s">
        <v>216</v>
      </c>
      <c r="C78" s="60">
        <f>340.3-0.02+0.03+0.03-60.83-60.69-48.58-60.83</f>
        <v>109.41000000000001</v>
      </c>
      <c r="D78" s="60">
        <f>300.72-49-64-70.34</f>
        <v>117.38000000000002</v>
      </c>
    </row>
    <row r="79" spans="1:4">
      <c r="A79" s="56">
        <v>73</v>
      </c>
      <c r="B79" s="59" t="s">
        <v>217</v>
      </c>
      <c r="C79" s="60">
        <f>121.6+0.06-60.83</f>
        <v>60.83</v>
      </c>
      <c r="D79" s="68">
        <f>109-53</f>
        <v>56</v>
      </c>
    </row>
    <row r="80" spans="1:4">
      <c r="A80" s="56">
        <v>74</v>
      </c>
      <c r="B80" s="59" t="s">
        <v>222</v>
      </c>
      <c r="C80" s="60">
        <v>60.83</v>
      </c>
      <c r="D80" s="60">
        <v>84.1</v>
      </c>
    </row>
    <row r="81" spans="1:21">
      <c r="A81" s="56">
        <v>75</v>
      </c>
      <c r="B81" s="59" t="s">
        <v>228</v>
      </c>
      <c r="C81" s="60">
        <v>121.42</v>
      </c>
      <c r="D81" s="60">
        <v>152</v>
      </c>
    </row>
    <row r="82" spans="1:21">
      <c r="A82" s="56">
        <v>76</v>
      </c>
      <c r="B82" s="59" t="s">
        <v>229</v>
      </c>
      <c r="C82" s="60">
        <v>2210.96</v>
      </c>
      <c r="D82" s="60">
        <v>2858.66</v>
      </c>
    </row>
    <row r="83" spans="1:21">
      <c r="A83" s="56">
        <v>77</v>
      </c>
      <c r="B83" s="69" t="s">
        <v>219</v>
      </c>
      <c r="C83" s="60">
        <v>60.83</v>
      </c>
      <c r="D83" s="60">
        <v>95.9</v>
      </c>
    </row>
    <row r="84" spans="1:21" ht="15.75">
      <c r="A84" s="13"/>
      <c r="B84" s="92" t="s">
        <v>231</v>
      </c>
      <c r="C84" s="91">
        <f>SUM(C7:C83)</f>
        <v>11042.53</v>
      </c>
      <c r="D84" s="91">
        <f>SUM(D7:D83)</f>
        <v>14022.07</v>
      </c>
    </row>
    <row r="85" spans="1:21" ht="15.75">
      <c r="A85" s="17"/>
      <c r="B85" s="18"/>
      <c r="C85" s="22"/>
      <c r="D85" s="22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>
      <c r="A86" s="17"/>
      <c r="B86" s="23"/>
      <c r="C86" s="20"/>
      <c r="D86" s="20"/>
    </row>
    <row r="87" spans="1:21">
      <c r="A87" s="17"/>
      <c r="B87" s="23"/>
      <c r="C87" s="24">
        <f>SUM(C6:C83)</f>
        <v>11042.53</v>
      </c>
      <c r="D87" s="20">
        <f>SUM(D7:D83)</f>
        <v>14022.07</v>
      </c>
    </row>
    <row r="88" spans="1:21">
      <c r="A88" s="17"/>
      <c r="C88" s="24"/>
    </row>
    <row r="89" spans="1:21">
      <c r="C89" s="16"/>
    </row>
    <row r="94" spans="1:21" ht="26.25">
      <c r="D94" s="32"/>
    </row>
    <row r="95" spans="1:21" ht="26.25">
      <c r="D95" s="32"/>
    </row>
    <row r="96" spans="1:21" ht="26.25">
      <c r="D96" s="32"/>
    </row>
    <row r="97" spans="4:4" ht="26.25">
      <c r="D97" s="34"/>
    </row>
    <row r="98" spans="4:4" ht="25.5">
      <c r="D98" s="35"/>
    </row>
    <row r="99" spans="4:4" ht="25.5">
      <c r="D99" s="35"/>
    </row>
  </sheetData>
  <mergeCells count="3">
    <mergeCell ref="A3:A5"/>
    <mergeCell ref="B3:B5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topLeftCell="A46" zoomScaleNormal="100" workbookViewId="0">
      <selection activeCell="B101" sqref="B101"/>
    </sheetView>
  </sheetViews>
  <sheetFormatPr defaultColWidth="12" defaultRowHeight="14.25"/>
  <cols>
    <col min="1" max="1" width="4.25" style="4" customWidth="1"/>
    <col min="2" max="2" width="17.125" style="4" customWidth="1"/>
    <col min="3" max="3" width="10.75" style="6" hidden="1" customWidth="1"/>
    <col min="4" max="4" width="11.875" style="4" customWidth="1"/>
    <col min="5" max="5" width="12" style="4" hidden="1" customWidth="1"/>
    <col min="6" max="6" width="12.5" style="4" hidden="1" customWidth="1"/>
    <col min="7" max="7" width="10.25" style="4" customWidth="1"/>
    <col min="8" max="8" width="10.875" style="4" hidden="1" customWidth="1"/>
    <col min="9" max="9" width="9.625" style="4" hidden="1" customWidth="1"/>
    <col min="10" max="10" width="8.75" style="4" hidden="1" customWidth="1"/>
    <col min="11" max="11" width="10.75" style="4" hidden="1" customWidth="1"/>
    <col min="12" max="12" width="13" style="4" customWidth="1"/>
    <col min="13" max="13" width="17.125" style="4" hidden="1" customWidth="1"/>
    <col min="14" max="14" width="11.75" style="4" customWidth="1"/>
    <col min="15" max="15" width="9.25" style="4" hidden="1" customWidth="1"/>
    <col min="16" max="16" width="16.5" style="4" hidden="1" customWidth="1"/>
    <col min="17" max="17" width="16.875" style="6" hidden="1" customWidth="1"/>
    <col min="18" max="238" width="9" style="4" customWidth="1"/>
    <col min="239" max="239" width="4.25" style="4" customWidth="1"/>
    <col min="240" max="240" width="28.625" style="4" customWidth="1"/>
    <col min="241" max="241" width="4.875" style="4" customWidth="1"/>
    <col min="242" max="242" width="12.625" style="4" customWidth="1"/>
    <col min="243" max="243" width="17.125" style="4" customWidth="1"/>
    <col min="244" max="244" width="16.75" style="4" customWidth="1"/>
    <col min="245" max="245" width="18" style="4" customWidth="1"/>
    <col min="246" max="246" width="16.25" style="4" customWidth="1"/>
    <col min="247" max="247" width="15.5" style="4" customWidth="1"/>
    <col min="248" max="249" width="12" style="4" customWidth="1"/>
    <col min="250" max="250" width="13.5" style="4" customWidth="1"/>
    <col min="251" max="251" width="17" style="4" customWidth="1"/>
    <col min="252" max="252" width="0" style="4" hidden="1" customWidth="1"/>
    <col min="253" max="253" width="14.75" style="4" customWidth="1"/>
    <col min="254" max="16384" width="12" style="4"/>
  </cols>
  <sheetData>
    <row r="1" spans="1:17" ht="15.75">
      <c r="A1" s="1"/>
      <c r="B1" s="2" t="s">
        <v>152</v>
      </c>
      <c r="C1" s="3"/>
      <c r="M1" s="5"/>
    </row>
    <row r="2" spans="1:17" ht="15" thickBot="1">
      <c r="A2" s="1"/>
      <c r="C2" s="3"/>
      <c r="D2" s="4" t="s">
        <v>0</v>
      </c>
      <c r="F2" s="4" t="s">
        <v>0</v>
      </c>
      <c r="Q2" s="6" t="s">
        <v>1</v>
      </c>
    </row>
    <row r="3" spans="1:17" ht="15">
      <c r="A3" s="169" t="s">
        <v>2</v>
      </c>
      <c r="B3" s="169" t="s">
        <v>3</v>
      </c>
      <c r="C3" s="179" t="s">
        <v>4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1"/>
    </row>
    <row r="4" spans="1:17" ht="15">
      <c r="A4" s="170"/>
      <c r="B4" s="170"/>
      <c r="C4" s="182" t="s">
        <v>5</v>
      </c>
      <c r="D4" s="183"/>
      <c r="E4" s="183"/>
      <c r="F4" s="183"/>
      <c r="G4" s="183"/>
      <c r="H4" s="183"/>
      <c r="I4" s="183"/>
      <c r="J4" s="183"/>
      <c r="K4" s="184"/>
      <c r="L4" s="185" t="s">
        <v>6</v>
      </c>
      <c r="M4" s="186"/>
      <c r="N4" s="186"/>
      <c r="O4" s="186"/>
      <c r="P4" s="186"/>
      <c r="Q4" s="187"/>
    </row>
    <row r="5" spans="1:17" ht="12.75" customHeight="1">
      <c r="A5" s="171"/>
      <c r="B5" s="171"/>
      <c r="C5" s="7" t="s">
        <v>7</v>
      </c>
      <c r="D5" s="188" t="s">
        <v>8</v>
      </c>
      <c r="E5" s="189"/>
      <c r="F5" s="190"/>
      <c r="G5" s="188" t="s">
        <v>9</v>
      </c>
      <c r="H5" s="189"/>
      <c r="I5" s="189"/>
      <c r="J5" s="189"/>
      <c r="K5" s="190"/>
      <c r="L5" s="173" t="s">
        <v>10</v>
      </c>
      <c r="M5" s="174"/>
      <c r="N5" s="173" t="s">
        <v>11</v>
      </c>
      <c r="O5" s="174"/>
      <c r="P5" s="8" t="s">
        <v>12</v>
      </c>
      <c r="Q5" s="175" t="s">
        <v>13</v>
      </c>
    </row>
    <row r="6" spans="1:17" ht="12.75" customHeight="1" thickBot="1">
      <c r="A6" s="10"/>
      <c r="B6" s="9" t="s">
        <v>3</v>
      </c>
      <c r="C6" s="11"/>
      <c r="D6" s="77" t="s">
        <v>14</v>
      </c>
      <c r="E6" s="77" t="s">
        <v>15</v>
      </c>
      <c r="F6" s="77" t="s">
        <v>16</v>
      </c>
      <c r="G6" s="79" t="s">
        <v>14</v>
      </c>
      <c r="H6" s="83" t="s">
        <v>17</v>
      </c>
      <c r="I6" s="77" t="s">
        <v>18</v>
      </c>
      <c r="J6" s="77" t="s">
        <v>19</v>
      </c>
      <c r="K6" s="77" t="s">
        <v>16</v>
      </c>
      <c r="L6" s="78" t="s">
        <v>14</v>
      </c>
      <c r="M6" s="78" t="s">
        <v>14</v>
      </c>
      <c r="N6" s="78" t="s">
        <v>14</v>
      </c>
      <c r="O6" s="78" t="s">
        <v>16</v>
      </c>
      <c r="P6" s="12" t="s">
        <v>20</v>
      </c>
      <c r="Q6" s="176"/>
    </row>
    <row r="7" spans="1:17" ht="15">
      <c r="A7" s="177" t="s">
        <v>150</v>
      </c>
      <c r="B7" s="178"/>
      <c r="C7" s="15"/>
      <c r="D7" s="15"/>
      <c r="E7" s="15"/>
      <c r="F7" s="15"/>
      <c r="G7" s="80"/>
      <c r="H7" s="84"/>
      <c r="I7" s="14"/>
      <c r="J7" s="14"/>
      <c r="K7" s="14"/>
      <c r="L7" s="15"/>
      <c r="M7" s="15"/>
      <c r="N7" s="15"/>
      <c r="O7" s="14"/>
      <c r="P7" s="14"/>
      <c r="Q7" s="14"/>
    </row>
    <row r="8" spans="1:17">
      <c r="A8" s="13">
        <v>1</v>
      </c>
      <c r="B8" s="36" t="s">
        <v>21</v>
      </c>
      <c r="C8" s="37">
        <f t="shared" ref="C8:C34" si="0">D8+E8+F8+G8+H8+I8+J8+K8</f>
        <v>869.36999999999989</v>
      </c>
      <c r="D8" s="38">
        <f>807.9-13.61+0.39+0.23+0.14+37.75-37.2+13.61-0.05+7.57-3.73-0.19+0.05+1.05</f>
        <v>813.90999999999985</v>
      </c>
      <c r="E8" s="38"/>
      <c r="F8" s="38">
        <f>41.85</f>
        <v>41.85</v>
      </c>
      <c r="G8" s="81">
        <v>13.61</v>
      </c>
      <c r="H8" s="85"/>
      <c r="I8" s="38"/>
      <c r="J8" s="38"/>
      <c r="K8" s="38"/>
      <c r="L8" s="38">
        <v>574.59</v>
      </c>
      <c r="M8" s="38">
        <f t="shared" ref="M8:M30" si="1">Q8-P8-O8-N8</f>
        <v>574.59</v>
      </c>
      <c r="N8" s="38">
        <f t="shared" ref="N8:N15" si="2">Q8-P8-L8</f>
        <v>40.409999999999968</v>
      </c>
      <c r="O8" s="39">
        <v>0</v>
      </c>
      <c r="P8" s="38"/>
      <c r="Q8" s="39">
        <v>615</v>
      </c>
    </row>
    <row r="9" spans="1:17">
      <c r="A9" s="13">
        <v>2</v>
      </c>
      <c r="B9" s="36" t="s">
        <v>22</v>
      </c>
      <c r="C9" s="37">
        <f t="shared" si="0"/>
        <v>403.65</v>
      </c>
      <c r="D9" s="38">
        <f>327.63+6.34+35.28+2.5-1.47+1.47</f>
        <v>371.75</v>
      </c>
      <c r="E9" s="38"/>
      <c r="F9" s="38">
        <v>31.9</v>
      </c>
      <c r="G9" s="81"/>
      <c r="H9" s="85"/>
      <c r="I9" s="38"/>
      <c r="J9" s="38"/>
      <c r="K9" s="38"/>
      <c r="L9" s="38">
        <v>886.5</v>
      </c>
      <c r="M9" s="38">
        <f t="shared" si="1"/>
        <v>886.5</v>
      </c>
      <c r="N9" s="38">
        <f t="shared" si="2"/>
        <v>0</v>
      </c>
      <c r="O9" s="38">
        <v>0</v>
      </c>
      <c r="P9" s="38">
        <v>89.5</v>
      </c>
      <c r="Q9" s="39">
        <v>976</v>
      </c>
    </row>
    <row r="10" spans="1:17">
      <c r="A10" s="13">
        <v>3</v>
      </c>
      <c r="B10" s="36" t="s">
        <v>23</v>
      </c>
      <c r="C10" s="37">
        <f t="shared" si="0"/>
        <v>2166.6899999999996</v>
      </c>
      <c r="D10" s="38">
        <f>1737.08-48.2-48.2+0.02-48.2-48.2-48.2-108.4+10-0.12-60.3-48.2-0.13-0.15-0.15</f>
        <v>1288.6499999999994</v>
      </c>
      <c r="E10" s="38"/>
      <c r="F10" s="38">
        <f>421.05+48.09+48.12+48.2+48.2+48.2+108.2+60.15+48.09-0.26</f>
        <v>878.04000000000019</v>
      </c>
      <c r="G10" s="81"/>
      <c r="H10" s="85"/>
      <c r="I10" s="38"/>
      <c r="J10" s="38"/>
      <c r="K10" s="38"/>
      <c r="L10" s="38">
        <f>2235.17-67-67-67-83-85-67</f>
        <v>1799.17</v>
      </c>
      <c r="M10" s="38">
        <f t="shared" si="1"/>
        <v>1799.17</v>
      </c>
      <c r="N10" s="38">
        <f t="shared" si="2"/>
        <v>0</v>
      </c>
      <c r="O10" s="39"/>
      <c r="P10" s="38">
        <f>789.83+67+67+150+85+67</f>
        <v>1225.83</v>
      </c>
      <c r="Q10" s="39">
        <v>3025</v>
      </c>
    </row>
    <row r="11" spans="1:17">
      <c r="A11" s="13">
        <v>4</v>
      </c>
      <c r="B11" s="36" t="s">
        <v>24</v>
      </c>
      <c r="C11" s="37">
        <f t="shared" si="0"/>
        <v>663.84</v>
      </c>
      <c r="D11" s="38">
        <f>283.14-0.06</f>
        <v>283.08</v>
      </c>
      <c r="E11" s="38"/>
      <c r="F11" s="38">
        <v>136.03</v>
      </c>
      <c r="G11" s="81">
        <v>244.73</v>
      </c>
      <c r="H11" s="85"/>
      <c r="I11" s="38"/>
      <c r="J11" s="38"/>
      <c r="K11" s="38"/>
      <c r="L11" s="38">
        <v>957.96</v>
      </c>
      <c r="M11" s="38">
        <f t="shared" si="1"/>
        <v>957.96</v>
      </c>
      <c r="N11" s="38">
        <f t="shared" si="2"/>
        <v>882.40999999999985</v>
      </c>
      <c r="O11" s="39"/>
      <c r="P11" s="38">
        <v>405.63</v>
      </c>
      <c r="Q11" s="39">
        <v>2246</v>
      </c>
    </row>
    <row r="12" spans="1:17">
      <c r="A12" s="13">
        <v>5</v>
      </c>
      <c r="B12" s="36" t="s">
        <v>25</v>
      </c>
      <c r="C12" s="37">
        <f t="shared" si="0"/>
        <v>3353.56</v>
      </c>
      <c r="D12" s="38">
        <f>1737.53+0.46-63.51-59.6-30.68-28.49-76.29-60.73+1.25-28.84-50.58-0.03-48.24+1-28.2-75.04-0.58+0.58+0.5-38.15+0.6</f>
        <v>1152.96</v>
      </c>
      <c r="E12" s="38"/>
      <c r="F12" s="38">
        <f>1258.35+61.61+63.51+3.66+59.6+30+28.49+76.29+60.73+28.84+50.58+47.26+28.64-2.3+73.59+38.15</f>
        <v>1906.9999999999998</v>
      </c>
      <c r="G12" s="81">
        <f>339.62-46.02</f>
        <v>293.60000000000002</v>
      </c>
      <c r="H12" s="85"/>
      <c r="I12" s="38"/>
      <c r="J12" s="38"/>
      <c r="K12" s="38"/>
      <c r="L12" s="38">
        <f>891.19-43-34-16-28-27-16-42-22</f>
        <v>663.19</v>
      </c>
      <c r="M12" s="38">
        <f t="shared" si="1"/>
        <v>663.19</v>
      </c>
      <c r="N12" s="38">
        <f t="shared" si="2"/>
        <v>208.06999999999994</v>
      </c>
      <c r="O12" s="39"/>
      <c r="P12" s="38">
        <f>848.74+43+34+16+28+27+16+42+22</f>
        <v>1076.74</v>
      </c>
      <c r="Q12" s="39">
        <v>1948</v>
      </c>
    </row>
    <row r="13" spans="1:17">
      <c r="A13" s="13">
        <v>6</v>
      </c>
      <c r="B13" s="36" t="s">
        <v>26</v>
      </c>
      <c r="C13" s="37">
        <f t="shared" si="0"/>
        <v>2253.15</v>
      </c>
      <c r="D13" s="38">
        <f>1127.61-56.98-55.06-37.52-37.32-67.3-56.4</f>
        <v>817.03</v>
      </c>
      <c r="E13" s="38"/>
      <c r="F13" s="38">
        <f>538.51+37.38+56.98+55.06+37.52+37.32+67.27+56.4</f>
        <v>886.44</v>
      </c>
      <c r="G13" s="81">
        <f>529.15-140.14+105.67</f>
        <v>494.68</v>
      </c>
      <c r="H13" s="85"/>
      <c r="I13" s="38"/>
      <c r="J13" s="38"/>
      <c r="K13" s="38">
        <v>55</v>
      </c>
      <c r="L13" s="38">
        <f>336.69-12-12-22-19</f>
        <v>271.69</v>
      </c>
      <c r="M13" s="38">
        <f t="shared" si="1"/>
        <v>271.69</v>
      </c>
      <c r="N13" s="38">
        <f t="shared" si="2"/>
        <v>178.44</v>
      </c>
      <c r="O13" s="39"/>
      <c r="P13" s="38">
        <f>231.87+12+12+22+19</f>
        <v>296.87</v>
      </c>
      <c r="Q13" s="39">
        <v>747</v>
      </c>
    </row>
    <row r="14" spans="1:17">
      <c r="A14" s="13">
        <v>7</v>
      </c>
      <c r="B14" s="40" t="s">
        <v>27</v>
      </c>
      <c r="C14" s="37">
        <f t="shared" si="0"/>
        <v>2174.0100000000002</v>
      </c>
      <c r="D14" s="38">
        <f>876.01-44.43-43.87-40.13-44.29-39.63-3.5-53.93+3.5-27.01-36.33-54.5-0.03+0.45-39.38</f>
        <v>452.93000000000012</v>
      </c>
      <c r="E14" s="38"/>
      <c r="F14" s="38">
        <f>954.57+44.43+43.87+40.13+44.29+39.63+53.93+26.77+36.33+54.5-0.7+39.38</f>
        <v>1377.13</v>
      </c>
      <c r="G14" s="89">
        <f>239.98+107.51-0.04-3.5</f>
        <v>343.95</v>
      </c>
      <c r="H14" s="86"/>
      <c r="I14" s="41"/>
      <c r="J14" s="41"/>
      <c r="K14" s="38"/>
      <c r="L14" s="38">
        <f>244.88-19-9-13-19-14</f>
        <v>170.88</v>
      </c>
      <c r="M14" s="38">
        <f t="shared" si="1"/>
        <v>170.88</v>
      </c>
      <c r="N14" s="38">
        <f t="shared" si="2"/>
        <v>87.149999999999977</v>
      </c>
      <c r="O14" s="39"/>
      <c r="P14" s="38">
        <f>431.97+19+9+13+19+14</f>
        <v>505.97</v>
      </c>
      <c r="Q14" s="39">
        <v>764</v>
      </c>
    </row>
    <row r="15" spans="1:17">
      <c r="A15" s="13">
        <v>8</v>
      </c>
      <c r="B15" s="36" t="s">
        <v>28</v>
      </c>
      <c r="C15" s="37">
        <f t="shared" si="0"/>
        <v>1063.92</v>
      </c>
      <c r="D15" s="38">
        <f>732.48-48.75-35.53-37.28+0.44-45.25-51.29-36.53</f>
        <v>478.29000000000019</v>
      </c>
      <c r="E15" s="38"/>
      <c r="F15" s="38">
        <f>329.97+48.75+35.53+37.28+45.25+51.29+37.56</f>
        <v>585.62999999999988</v>
      </c>
      <c r="G15" s="81"/>
      <c r="H15" s="85"/>
      <c r="I15" s="38"/>
      <c r="J15" s="38"/>
      <c r="K15" s="38"/>
      <c r="L15" s="38">
        <f>1739.86-90-93-113-128-95</f>
        <v>1220.8599999999999</v>
      </c>
      <c r="M15" s="38">
        <f t="shared" si="1"/>
        <v>1220.8600000000001</v>
      </c>
      <c r="N15" s="38">
        <f t="shared" si="2"/>
        <v>0</v>
      </c>
      <c r="O15" s="39"/>
      <c r="P15" s="38">
        <f>940.14+90+93+113+128+95</f>
        <v>1459.1399999999999</v>
      </c>
      <c r="Q15" s="39">
        <v>2680</v>
      </c>
    </row>
    <row r="16" spans="1:17">
      <c r="A16" s="13">
        <v>9</v>
      </c>
      <c r="B16" s="40" t="s">
        <v>29</v>
      </c>
      <c r="C16" s="37">
        <f t="shared" si="0"/>
        <v>2444.5300000000002</v>
      </c>
      <c r="D16" s="55">
        <v>564.86</v>
      </c>
      <c r="E16" s="55"/>
      <c r="F16" s="55">
        <v>1382.13</v>
      </c>
      <c r="G16" s="82">
        <f>511.21-63.19</f>
        <v>448.02</v>
      </c>
      <c r="H16" s="87"/>
      <c r="I16" s="55"/>
      <c r="J16" s="55"/>
      <c r="K16" s="55">
        <v>49.52</v>
      </c>
      <c r="L16" s="55">
        <f>227.85-11-15-11-15-11</f>
        <v>164.85</v>
      </c>
      <c r="M16" s="55">
        <f t="shared" si="1"/>
        <v>164.85000000000002</v>
      </c>
      <c r="N16" s="55">
        <v>126.19</v>
      </c>
      <c r="O16" s="43"/>
      <c r="P16" s="42">
        <f>421.96+11</f>
        <v>432.96</v>
      </c>
      <c r="Q16" s="43">
        <v>724</v>
      </c>
    </row>
    <row r="17" spans="1:17">
      <c r="A17" s="13">
        <v>10</v>
      </c>
      <c r="B17" s="75" t="s">
        <v>30</v>
      </c>
      <c r="C17" s="76">
        <f t="shared" si="0"/>
        <v>1103.1599999999999</v>
      </c>
      <c r="D17" s="55">
        <v>760.8</v>
      </c>
      <c r="E17" s="55"/>
      <c r="F17" s="55">
        <v>342.36</v>
      </c>
      <c r="G17" s="82"/>
      <c r="H17" s="87"/>
      <c r="I17" s="55"/>
      <c r="J17" s="55"/>
      <c r="K17" s="55"/>
      <c r="L17" s="55">
        <f>1689.47-85.7-112</f>
        <v>1491.77</v>
      </c>
      <c r="M17" s="55">
        <f t="shared" si="1"/>
        <v>1491.77</v>
      </c>
      <c r="N17" s="55">
        <f t="shared" ref="N17:N34" si="3">Q17-P17-L17</f>
        <v>0</v>
      </c>
      <c r="O17" s="43"/>
      <c r="P17" s="42">
        <f>578.23+112</f>
        <v>690.23</v>
      </c>
      <c r="Q17" s="43">
        <v>2182</v>
      </c>
    </row>
    <row r="18" spans="1:17">
      <c r="A18" s="13">
        <v>11</v>
      </c>
      <c r="B18" s="36" t="s">
        <v>31</v>
      </c>
      <c r="C18" s="37">
        <f t="shared" si="0"/>
        <v>489.69999999999993</v>
      </c>
      <c r="D18" s="38">
        <f>421.83+2.06+1.51-0.04+1.02+2.57-1+0.37</f>
        <v>428.31999999999994</v>
      </c>
      <c r="E18" s="38"/>
      <c r="F18" s="38">
        <v>61.38</v>
      </c>
      <c r="G18" s="81"/>
      <c r="H18" s="85"/>
      <c r="I18" s="38"/>
      <c r="J18" s="38"/>
      <c r="K18" s="38"/>
      <c r="L18" s="38">
        <v>1152.45</v>
      </c>
      <c r="M18" s="38">
        <f t="shared" si="1"/>
        <v>1152.45</v>
      </c>
      <c r="N18" s="38">
        <f t="shared" si="3"/>
        <v>0</v>
      </c>
      <c r="O18" s="39"/>
      <c r="P18" s="38">
        <v>193.55</v>
      </c>
      <c r="Q18" s="39">
        <v>1346</v>
      </c>
    </row>
    <row r="19" spans="1:17">
      <c r="A19" s="13">
        <v>12</v>
      </c>
      <c r="B19" s="36" t="s">
        <v>32</v>
      </c>
      <c r="C19" s="37">
        <f t="shared" si="0"/>
        <v>1102.2600000000002</v>
      </c>
      <c r="D19" s="38">
        <f>852-44.73-0.05-1-37-56.96-0.04-48-0.01-96-58.9+0.26</f>
        <v>509.57000000000005</v>
      </c>
      <c r="E19" s="38"/>
      <c r="F19" s="38">
        <f>249.96+44.73+37+58+48+48+48+59</f>
        <v>592.69000000000005</v>
      </c>
      <c r="G19" s="81"/>
      <c r="H19" s="85"/>
      <c r="I19" s="38"/>
      <c r="J19" s="38"/>
      <c r="K19" s="38"/>
      <c r="L19" s="38">
        <f>1293.28+1.73-59-92-77-77-77-94</f>
        <v>819.01</v>
      </c>
      <c r="M19" s="38">
        <f t="shared" si="1"/>
        <v>819.01</v>
      </c>
      <c r="N19" s="38">
        <f t="shared" si="3"/>
        <v>0</v>
      </c>
      <c r="O19" s="39"/>
      <c r="P19" s="38">
        <f>470.99+59+92+77+77+77+94</f>
        <v>946.99</v>
      </c>
      <c r="Q19" s="39">
        <v>1766</v>
      </c>
    </row>
    <row r="20" spans="1:17">
      <c r="A20" s="13">
        <v>13</v>
      </c>
      <c r="B20" s="40" t="s">
        <v>33</v>
      </c>
      <c r="C20" s="37">
        <f t="shared" si="0"/>
        <v>2026.25</v>
      </c>
      <c r="D20" s="38">
        <f>1060.67+0.64-46.69-45.59-35.3-35.4-36.33-36.15-1.79</f>
        <v>824.06000000000017</v>
      </c>
      <c r="E20" s="38"/>
      <c r="F20" s="38">
        <f>966.74+46.69+45.59+35.3+35.37+36.33+36.15+0.02</f>
        <v>1202.1899999999998</v>
      </c>
      <c r="G20" s="81"/>
      <c r="H20" s="85"/>
      <c r="I20" s="38"/>
      <c r="J20" s="38"/>
      <c r="K20" s="38"/>
      <c r="L20" s="38">
        <f>1733.25-67-52-52-53-52</f>
        <v>1457.25</v>
      </c>
      <c r="M20" s="38">
        <f t="shared" si="1"/>
        <v>1457.25</v>
      </c>
      <c r="N20" s="38">
        <f t="shared" si="3"/>
        <v>0</v>
      </c>
      <c r="O20" s="39"/>
      <c r="P20" s="38">
        <f>1240.75+67+52+52+53+52</f>
        <v>1516.75</v>
      </c>
      <c r="Q20" s="39">
        <v>2974</v>
      </c>
    </row>
    <row r="21" spans="1:17">
      <c r="A21" s="13">
        <v>14</v>
      </c>
      <c r="B21" s="40" t="s">
        <v>34</v>
      </c>
      <c r="C21" s="37">
        <f t="shared" si="0"/>
        <v>1785.3700000000003</v>
      </c>
      <c r="D21" s="38">
        <f>1548.69-37.86-37.12+0.02+0.8+0.75-38.06+37.64+0.44-36.1+1.61-38.2+0.46-0.35</f>
        <v>1402.7200000000005</v>
      </c>
      <c r="E21" s="38"/>
      <c r="F21" s="38">
        <f>152.28+38.44+38.44+38.44+0.51+38.44</f>
        <v>306.55</v>
      </c>
      <c r="G21" s="90">
        <v>76.099999999999994</v>
      </c>
      <c r="H21" s="88"/>
      <c r="I21" s="44"/>
      <c r="J21" s="44"/>
      <c r="K21" s="38"/>
      <c r="L21" s="38">
        <f>1552.04-39-39-39</f>
        <v>1435.04</v>
      </c>
      <c r="M21" s="38">
        <f t="shared" si="1"/>
        <v>1435.04</v>
      </c>
      <c r="N21" s="38">
        <f t="shared" si="3"/>
        <v>81.320000000000164</v>
      </c>
      <c r="O21" s="39"/>
      <c r="P21" s="38">
        <f>192.64+39+39+39</f>
        <v>309.64</v>
      </c>
      <c r="Q21" s="39">
        <v>1826</v>
      </c>
    </row>
    <row r="22" spans="1:17">
      <c r="A22" s="13">
        <v>15</v>
      </c>
      <c r="B22" s="36" t="s">
        <v>35</v>
      </c>
      <c r="C22" s="37">
        <f t="shared" si="0"/>
        <v>441.51</v>
      </c>
      <c r="D22" s="38">
        <f>316.04-48.03-40.42-44.25-47.12</f>
        <v>136.21999999999997</v>
      </c>
      <c r="E22" s="38"/>
      <c r="F22" s="38">
        <f>125.47+48.03+40.42+44.25+47.12</f>
        <v>305.29000000000002</v>
      </c>
      <c r="G22" s="81"/>
      <c r="H22" s="85"/>
      <c r="I22" s="38"/>
      <c r="J22" s="38"/>
      <c r="K22" s="38"/>
      <c r="L22" s="38">
        <f>699.48-107-117-122</f>
        <v>353.48</v>
      </c>
      <c r="M22" s="38">
        <f t="shared" si="1"/>
        <v>353.48</v>
      </c>
      <c r="N22" s="38">
        <f t="shared" si="3"/>
        <v>0</v>
      </c>
      <c r="O22" s="39"/>
      <c r="P22" s="38">
        <f>445.52+107+117+122</f>
        <v>791.52</v>
      </c>
      <c r="Q22" s="39">
        <v>1145</v>
      </c>
    </row>
    <row r="23" spans="1:17">
      <c r="A23" s="13">
        <v>16</v>
      </c>
      <c r="B23" s="36" t="s">
        <v>36</v>
      </c>
      <c r="C23" s="37">
        <f t="shared" si="0"/>
        <v>2001.0400000000002</v>
      </c>
      <c r="D23" s="38">
        <f>1184.22-63.1-35.3-46.83-45.14-45.7-46.75-36.29-46.84-0.65-36.58</f>
        <v>781.04000000000019</v>
      </c>
      <c r="E23" s="38"/>
      <c r="F23" s="38">
        <f>823.33+63.1+34.21+48.18+44.91+45.83+45.74+34.38+43.75+36.48+0.09</f>
        <v>1220</v>
      </c>
      <c r="G23" s="81"/>
      <c r="H23" s="85"/>
      <c r="I23" s="38"/>
      <c r="J23" s="38"/>
      <c r="K23" s="38"/>
      <c r="L23" s="38">
        <f>1854.64-66-67-66-51-64-54</f>
        <v>1486.64</v>
      </c>
      <c r="M23" s="38">
        <f t="shared" si="1"/>
        <v>1486.64</v>
      </c>
      <c r="N23" s="38">
        <f t="shared" si="3"/>
        <v>0</v>
      </c>
      <c r="O23" s="38">
        <f t="shared" ref="O23:O34" si="4">K23*Q23/C23</f>
        <v>0</v>
      </c>
      <c r="P23" s="38">
        <f>1087.36+66+67+66+51+64+54</f>
        <v>1455.36</v>
      </c>
      <c r="Q23" s="39">
        <v>2942</v>
      </c>
    </row>
    <row r="24" spans="1:17">
      <c r="A24" s="13">
        <v>17</v>
      </c>
      <c r="B24" s="36" t="s">
        <v>37</v>
      </c>
      <c r="C24" s="37">
        <f t="shared" si="0"/>
        <v>2120.3100000000004</v>
      </c>
      <c r="D24" s="38">
        <f>1014.27+0.03-57.7-0.93-38.7-38-47.87-50.4-49.1</f>
        <v>731.59999999999991</v>
      </c>
      <c r="E24" s="38"/>
      <c r="F24" s="38">
        <f>1108.5+58.73+38.7+37.39+47.39+0.2+48.9+48.9</f>
        <v>1388.7100000000005</v>
      </c>
      <c r="G24" s="81"/>
      <c r="H24" s="85"/>
      <c r="I24" s="38"/>
      <c r="J24" s="38"/>
      <c r="K24" s="38"/>
      <c r="L24" s="38">
        <f>1176.07-47-46-56-59-59</f>
        <v>909.06999999999994</v>
      </c>
      <c r="M24" s="38">
        <f t="shared" si="1"/>
        <v>909.06999999999994</v>
      </c>
      <c r="N24" s="38">
        <f t="shared" si="3"/>
        <v>0</v>
      </c>
      <c r="O24" s="38">
        <f t="shared" si="4"/>
        <v>0</v>
      </c>
      <c r="P24" s="38">
        <f>1378.93+47+46+56+59+59</f>
        <v>1645.93</v>
      </c>
      <c r="Q24" s="39">
        <v>2555</v>
      </c>
    </row>
    <row r="25" spans="1:17">
      <c r="A25" s="13">
        <v>18</v>
      </c>
      <c r="B25" s="36" t="s">
        <v>38</v>
      </c>
      <c r="C25" s="37">
        <f t="shared" si="0"/>
        <v>1984.5799999999997</v>
      </c>
      <c r="D25" s="38">
        <f>782.62-35.1-49.6-47.75+0.99-46.38-34.2-46.2-46.12-46.95</f>
        <v>431.30999999999989</v>
      </c>
      <c r="E25" s="38"/>
      <c r="F25" s="38">
        <f>1202.86+35.1+49.6+47.75+46.38+34.21+44.75+45.83+46.95-0.16</f>
        <v>1553.2699999999998</v>
      </c>
      <c r="G25" s="81"/>
      <c r="H25" s="85"/>
      <c r="I25" s="38"/>
      <c r="J25" s="38"/>
      <c r="K25" s="38"/>
      <c r="L25" s="38">
        <f>246.38-14-18-19-19</f>
        <v>176.38</v>
      </c>
      <c r="M25" s="38">
        <f t="shared" si="1"/>
        <v>176.38</v>
      </c>
      <c r="N25" s="38">
        <f t="shared" si="3"/>
        <v>0</v>
      </c>
      <c r="O25" s="38">
        <f t="shared" si="4"/>
        <v>0</v>
      </c>
      <c r="P25" s="38">
        <f>564.62+14+18+19+19</f>
        <v>634.62</v>
      </c>
      <c r="Q25" s="39">
        <v>811</v>
      </c>
    </row>
    <row r="26" spans="1:17">
      <c r="A26" s="13">
        <v>19</v>
      </c>
      <c r="B26" s="36" t="s">
        <v>39</v>
      </c>
      <c r="C26" s="37">
        <f t="shared" si="0"/>
        <v>810.23</v>
      </c>
      <c r="D26" s="38">
        <f>507.85-0.8-1.1-37.1-37.32</f>
        <v>431.53</v>
      </c>
      <c r="E26" s="38"/>
      <c r="F26" s="38">
        <f>304.8+37.1+36.8</f>
        <v>378.70000000000005</v>
      </c>
      <c r="G26" s="81"/>
      <c r="H26" s="85"/>
      <c r="I26" s="38"/>
      <c r="J26" s="38"/>
      <c r="K26" s="38"/>
      <c r="L26" s="38">
        <f>879.51-64-64</f>
        <v>751.51</v>
      </c>
      <c r="M26" s="38">
        <f t="shared" si="1"/>
        <v>751.51</v>
      </c>
      <c r="N26" s="38">
        <f t="shared" si="3"/>
        <v>0</v>
      </c>
      <c r="O26" s="38">
        <f t="shared" si="4"/>
        <v>0</v>
      </c>
      <c r="P26" s="38">
        <f>534.49+64+64</f>
        <v>662.49</v>
      </c>
      <c r="Q26" s="39">
        <v>1414</v>
      </c>
    </row>
    <row r="27" spans="1:17">
      <c r="A27" s="13">
        <v>20</v>
      </c>
      <c r="B27" s="36" t="s">
        <v>40</v>
      </c>
      <c r="C27" s="37">
        <f t="shared" si="0"/>
        <v>819.72</v>
      </c>
      <c r="D27" s="38">
        <f>625.3-37.9-28.4-0.8-0.9</f>
        <v>557.30000000000007</v>
      </c>
      <c r="E27" s="38"/>
      <c r="F27" s="38">
        <f>196.32+37.9+28.2</f>
        <v>262.42</v>
      </c>
      <c r="G27" s="81"/>
      <c r="H27" s="85"/>
      <c r="I27" s="38"/>
      <c r="J27" s="38"/>
      <c r="K27" s="38"/>
      <c r="L27" s="38">
        <v>461.92</v>
      </c>
      <c r="M27" s="38">
        <f t="shared" si="1"/>
        <v>461.91999999999996</v>
      </c>
      <c r="N27" s="38">
        <f t="shared" si="3"/>
        <v>0</v>
      </c>
      <c r="O27" s="38">
        <f t="shared" si="4"/>
        <v>0</v>
      </c>
      <c r="P27" s="38">
        <v>226.08</v>
      </c>
      <c r="Q27" s="39">
        <v>688</v>
      </c>
    </row>
    <row r="28" spans="1:17">
      <c r="A28" s="13">
        <v>21</v>
      </c>
      <c r="B28" s="36" t="s">
        <v>41</v>
      </c>
      <c r="C28" s="37">
        <f t="shared" si="0"/>
        <v>1020.8099999999997</v>
      </c>
      <c r="D28" s="38">
        <f>894.58+0.61-44.33+0.02+0.01-44.33-44.33-44.33+1.39-0.61-34.96</f>
        <v>683.7199999999998</v>
      </c>
      <c r="E28" s="38"/>
      <c r="F28" s="38">
        <f>124.81+44.33+44.33+44.33+44.33+34.96</f>
        <v>337.08999999999992</v>
      </c>
      <c r="G28" s="81"/>
      <c r="H28" s="85"/>
      <c r="I28" s="38"/>
      <c r="J28" s="38"/>
      <c r="K28" s="38"/>
      <c r="L28" s="38">
        <f>1034.84-53-53-53-42</f>
        <v>833.83999999999992</v>
      </c>
      <c r="M28" s="38">
        <f t="shared" si="1"/>
        <v>833.84</v>
      </c>
      <c r="N28" s="38">
        <f t="shared" si="3"/>
        <v>0</v>
      </c>
      <c r="O28" s="38">
        <f t="shared" si="4"/>
        <v>0</v>
      </c>
      <c r="P28" s="38">
        <f>203.16+53+53+53+42</f>
        <v>404.15999999999997</v>
      </c>
      <c r="Q28" s="39">
        <v>1238</v>
      </c>
    </row>
    <row r="29" spans="1:17">
      <c r="A29" s="13">
        <v>22</v>
      </c>
      <c r="B29" s="45" t="s">
        <v>42</v>
      </c>
      <c r="C29" s="37">
        <f t="shared" si="0"/>
        <v>750.43</v>
      </c>
      <c r="D29" s="55">
        <v>621.77</v>
      </c>
      <c r="E29" s="55"/>
      <c r="F29" s="55">
        <v>128.66</v>
      </c>
      <c r="G29" s="82"/>
      <c r="H29" s="87"/>
      <c r="I29" s="55"/>
      <c r="J29" s="55"/>
      <c r="K29" s="55"/>
      <c r="L29" s="55">
        <v>903.89</v>
      </c>
      <c r="M29" s="55">
        <f t="shared" si="1"/>
        <v>903.89</v>
      </c>
      <c r="N29" s="55">
        <f t="shared" si="3"/>
        <v>0</v>
      </c>
      <c r="O29" s="53">
        <f t="shared" si="4"/>
        <v>0</v>
      </c>
      <c r="P29" s="53">
        <v>187.11</v>
      </c>
      <c r="Q29" s="54">
        <v>1091</v>
      </c>
    </row>
    <row r="30" spans="1:17">
      <c r="A30" s="13">
        <v>23</v>
      </c>
      <c r="B30" s="45" t="s">
        <v>43</v>
      </c>
      <c r="C30" s="37">
        <f t="shared" si="0"/>
        <v>542.63</v>
      </c>
      <c r="D30" s="38">
        <f>516.89+3.9-2.02-0.79-3.1-2.81-0.75-1.5+2.92</f>
        <v>512.74</v>
      </c>
      <c r="E30" s="38"/>
      <c r="F30" s="38">
        <v>29.89</v>
      </c>
      <c r="G30" s="81"/>
      <c r="H30" s="85"/>
      <c r="I30" s="38"/>
      <c r="J30" s="38"/>
      <c r="K30" s="38"/>
      <c r="L30" s="38">
        <v>1654.16</v>
      </c>
      <c r="M30" s="38">
        <f t="shared" si="1"/>
        <v>1654.16</v>
      </c>
      <c r="N30" s="38">
        <f t="shared" si="3"/>
        <v>0</v>
      </c>
      <c r="O30" s="38">
        <f t="shared" si="4"/>
        <v>0</v>
      </c>
      <c r="P30" s="38">
        <v>91.84</v>
      </c>
      <c r="Q30" s="39">
        <v>1746</v>
      </c>
    </row>
    <row r="31" spans="1:17">
      <c r="A31" s="13">
        <v>24</v>
      </c>
      <c r="B31" s="36" t="s">
        <v>44</v>
      </c>
      <c r="C31" s="37">
        <f t="shared" si="0"/>
        <v>488.70000000000005</v>
      </c>
      <c r="D31" s="38">
        <f>492.66+0.5-43.1+0.57-2.57-3.3+3.18-0.7-0.83-0.01</f>
        <v>446.40000000000003</v>
      </c>
      <c r="E31" s="38"/>
      <c r="F31" s="38">
        <v>42.3</v>
      </c>
      <c r="G31" s="81"/>
      <c r="H31" s="85"/>
      <c r="I31" s="38"/>
      <c r="J31" s="38"/>
      <c r="K31" s="38"/>
      <c r="L31" s="38">
        <f>708-61+29</f>
        <v>676</v>
      </c>
      <c r="M31" s="46">
        <f>Q31-N31-61</f>
        <v>676</v>
      </c>
      <c r="N31" s="38">
        <f t="shared" si="3"/>
        <v>0</v>
      </c>
      <c r="O31" s="38">
        <f t="shared" si="4"/>
        <v>0</v>
      </c>
      <c r="P31" s="38">
        <v>61</v>
      </c>
      <c r="Q31" s="39">
        <v>737</v>
      </c>
    </row>
    <row r="32" spans="1:17">
      <c r="A32" s="13">
        <v>25</v>
      </c>
      <c r="B32" s="45" t="s">
        <v>45</v>
      </c>
      <c r="C32" s="37">
        <f t="shared" si="0"/>
        <v>247.07</v>
      </c>
      <c r="D32" s="38">
        <f>214.93-1.36+0.67-0.57</f>
        <v>213.67</v>
      </c>
      <c r="E32" s="38"/>
      <c r="F32" s="38">
        <v>33.4</v>
      </c>
      <c r="G32" s="81"/>
      <c r="H32" s="85"/>
      <c r="I32" s="38"/>
      <c r="J32" s="38"/>
      <c r="K32" s="38"/>
      <c r="L32" s="38">
        <v>687.21</v>
      </c>
      <c r="M32" s="38">
        <f t="shared" ref="M32:M63" si="5">Q32-P32-O32-N32</f>
        <v>687.21</v>
      </c>
      <c r="N32" s="38">
        <f t="shared" si="3"/>
        <v>0</v>
      </c>
      <c r="O32" s="38">
        <f t="shared" si="4"/>
        <v>0</v>
      </c>
      <c r="P32" s="38">
        <v>106.79</v>
      </c>
      <c r="Q32" s="39">
        <v>794</v>
      </c>
    </row>
    <row r="33" spans="1:17">
      <c r="A33" s="13">
        <v>26</v>
      </c>
      <c r="B33" s="45" t="s">
        <v>46</v>
      </c>
      <c r="C33" s="37">
        <f t="shared" si="0"/>
        <v>838.07</v>
      </c>
      <c r="D33" s="38">
        <f>749.7-1.29-43.2</f>
        <v>705.21</v>
      </c>
      <c r="E33" s="38"/>
      <c r="F33" s="38">
        <f>62.57+46.7</f>
        <v>109.27000000000001</v>
      </c>
      <c r="G33" s="81">
        <f>46.79-23.2</f>
        <v>23.59</v>
      </c>
      <c r="H33" s="85"/>
      <c r="I33" s="38"/>
      <c r="J33" s="38"/>
      <c r="K33" s="38"/>
      <c r="L33" s="38">
        <f>1153.45-69</f>
        <v>1084.45</v>
      </c>
      <c r="M33" s="38">
        <f t="shared" si="5"/>
        <v>1084.45</v>
      </c>
      <c r="N33" s="38">
        <f t="shared" si="3"/>
        <v>76.539999999999964</v>
      </c>
      <c r="O33" s="38">
        <f t="shared" si="4"/>
        <v>0</v>
      </c>
      <c r="P33" s="38">
        <f>92.01+69</f>
        <v>161.01</v>
      </c>
      <c r="Q33" s="39">
        <v>1322</v>
      </c>
    </row>
    <row r="34" spans="1:17">
      <c r="A34" s="13">
        <v>27</v>
      </c>
      <c r="B34" s="36" t="s">
        <v>47</v>
      </c>
      <c r="C34" s="37">
        <f t="shared" si="0"/>
        <v>619.99000000000012</v>
      </c>
      <c r="D34" s="38">
        <f>586.35-31.43+1+1.1-61.14</f>
        <v>495.88000000000011</v>
      </c>
      <c r="E34" s="38"/>
      <c r="F34" s="38">
        <f>31.54+31.43+61.14</f>
        <v>124.11</v>
      </c>
      <c r="G34" s="81"/>
      <c r="H34" s="85"/>
      <c r="I34" s="38"/>
      <c r="J34" s="38"/>
      <c r="K34" s="38"/>
      <c r="L34" s="38">
        <f>371.09-42</f>
        <v>329.09</v>
      </c>
      <c r="M34" s="38">
        <f t="shared" si="5"/>
        <v>329.09000000000003</v>
      </c>
      <c r="N34" s="38">
        <f t="shared" si="3"/>
        <v>0</v>
      </c>
      <c r="O34" s="38">
        <f t="shared" si="4"/>
        <v>0</v>
      </c>
      <c r="P34" s="38">
        <f>43.91+42</f>
        <v>85.91</v>
      </c>
      <c r="Q34" s="39">
        <v>415</v>
      </c>
    </row>
    <row r="35" spans="1:17">
      <c r="A35" s="13">
        <v>28</v>
      </c>
      <c r="B35" s="45" t="s">
        <v>151</v>
      </c>
      <c r="C35" s="37">
        <v>324</v>
      </c>
      <c r="D35" s="55">
        <v>324</v>
      </c>
      <c r="E35" s="55"/>
      <c r="F35" s="55"/>
      <c r="G35" s="82"/>
      <c r="H35" s="87"/>
      <c r="I35" s="55"/>
      <c r="J35" s="55"/>
      <c r="K35" s="55"/>
      <c r="L35" s="55">
        <v>529</v>
      </c>
      <c r="M35" s="38">
        <f t="shared" si="5"/>
        <v>529</v>
      </c>
      <c r="N35" s="55"/>
      <c r="O35" s="47"/>
      <c r="P35" s="47"/>
      <c r="Q35" s="48">
        <v>529</v>
      </c>
    </row>
    <row r="36" spans="1:17">
      <c r="A36" s="13">
        <v>29</v>
      </c>
      <c r="B36" s="45" t="s">
        <v>48</v>
      </c>
      <c r="C36" s="37">
        <f t="shared" ref="C36:C67" si="6">D36+E36+F36+G36+H36+I36+J36+K36</f>
        <v>834.23000000000013</v>
      </c>
      <c r="D36" s="38">
        <f>733.06-0.02+1.69+1.45+1.35-1.7</f>
        <v>735.83</v>
      </c>
      <c r="E36" s="38"/>
      <c r="F36" s="38">
        <v>75.2</v>
      </c>
      <c r="G36" s="81">
        <v>23.2</v>
      </c>
      <c r="H36" s="85"/>
      <c r="I36" s="38"/>
      <c r="J36" s="38"/>
      <c r="K36" s="38"/>
      <c r="L36" s="38">
        <v>648.9</v>
      </c>
      <c r="M36" s="38">
        <f t="shared" si="5"/>
        <v>648.9</v>
      </c>
      <c r="N36" s="38">
        <f t="shared" ref="N36:N67" si="7">Q36-P36-L36</f>
        <v>33.519999999999982</v>
      </c>
      <c r="O36" s="38">
        <f t="shared" ref="O36:O60" si="8">K36*Q36/C36</f>
        <v>0</v>
      </c>
      <c r="P36" s="38">
        <v>53.58</v>
      </c>
      <c r="Q36" s="39">
        <v>736</v>
      </c>
    </row>
    <row r="37" spans="1:17">
      <c r="A37" s="13">
        <v>30</v>
      </c>
      <c r="B37" s="45" t="s">
        <v>49</v>
      </c>
      <c r="C37" s="37">
        <f t="shared" si="6"/>
        <v>879.0200000000001</v>
      </c>
      <c r="D37" s="38">
        <f>763.68+44.7+8.76+2.15-72+0.71+0.72+7.37+1.44+1.79</f>
        <v>759.32</v>
      </c>
      <c r="E37" s="38"/>
      <c r="F37" s="38">
        <f>47.7+72</f>
        <v>119.7</v>
      </c>
      <c r="G37" s="81"/>
      <c r="H37" s="85"/>
      <c r="I37" s="38"/>
      <c r="J37" s="38"/>
      <c r="K37" s="38"/>
      <c r="L37" s="38">
        <f>702.42-54</f>
        <v>648.41999999999996</v>
      </c>
      <c r="M37" s="38">
        <f t="shared" si="5"/>
        <v>648.41999999999996</v>
      </c>
      <c r="N37" s="38">
        <f t="shared" si="7"/>
        <v>0</v>
      </c>
      <c r="O37" s="38">
        <f t="shared" si="8"/>
        <v>0</v>
      </c>
      <c r="P37" s="38">
        <f>36.58+54</f>
        <v>90.58</v>
      </c>
      <c r="Q37" s="39">
        <v>739</v>
      </c>
    </row>
    <row r="38" spans="1:17">
      <c r="A38" s="13">
        <v>31</v>
      </c>
      <c r="B38" s="45" t="s">
        <v>50</v>
      </c>
      <c r="C38" s="37">
        <f t="shared" si="6"/>
        <v>894.75</v>
      </c>
      <c r="D38" s="38">
        <f>591.88+0.07-52.2-71.93-0.93-65.84+0.47</f>
        <v>401.52</v>
      </c>
      <c r="E38" s="38"/>
      <c r="F38" s="38">
        <f>306.03+51+71+65.2</f>
        <v>493.22999999999996</v>
      </c>
      <c r="G38" s="81"/>
      <c r="H38" s="85"/>
      <c r="I38" s="38"/>
      <c r="J38" s="38"/>
      <c r="K38" s="38"/>
      <c r="L38" s="38">
        <f>952.85-128-117</f>
        <v>707.85</v>
      </c>
      <c r="M38" s="38">
        <f t="shared" si="5"/>
        <v>707.85</v>
      </c>
      <c r="N38" s="38">
        <f t="shared" si="7"/>
        <v>0</v>
      </c>
      <c r="O38" s="38">
        <f t="shared" si="8"/>
        <v>0</v>
      </c>
      <c r="P38" s="38">
        <f>659.15+128+117</f>
        <v>904.15</v>
      </c>
      <c r="Q38" s="39">
        <v>1612</v>
      </c>
    </row>
    <row r="39" spans="1:17">
      <c r="A39" s="13">
        <v>32</v>
      </c>
      <c r="B39" s="36" t="s">
        <v>51</v>
      </c>
      <c r="C39" s="37">
        <f t="shared" si="6"/>
        <v>771.73</v>
      </c>
      <c r="D39" s="38">
        <f>481.78-47.46-0.67</f>
        <v>433.65</v>
      </c>
      <c r="E39" s="38"/>
      <c r="F39" s="38">
        <f>289.18+48.9</f>
        <v>338.08</v>
      </c>
      <c r="G39" s="81"/>
      <c r="H39" s="85"/>
      <c r="I39" s="38"/>
      <c r="J39" s="38"/>
      <c r="K39" s="38"/>
      <c r="L39" s="38">
        <f>1012.5-104</f>
        <v>908.5</v>
      </c>
      <c r="M39" s="38">
        <f t="shared" si="5"/>
        <v>908.5</v>
      </c>
      <c r="N39" s="38">
        <f t="shared" si="7"/>
        <v>0</v>
      </c>
      <c r="O39" s="38">
        <f t="shared" si="8"/>
        <v>0</v>
      </c>
      <c r="P39" s="38">
        <f>632.5+104</f>
        <v>736.5</v>
      </c>
      <c r="Q39" s="39">
        <v>1645</v>
      </c>
    </row>
    <row r="40" spans="1:17">
      <c r="A40" s="13">
        <v>33</v>
      </c>
      <c r="B40" s="36" t="s">
        <v>52</v>
      </c>
      <c r="C40" s="37">
        <f t="shared" si="6"/>
        <v>2071.8099999999995</v>
      </c>
      <c r="D40" s="38">
        <f>1161.75-35.1-45.4-47.5-46.68-59.6-47.1-61.6-47.5+1-46.3-0.5-34.1-0.04-47.7</f>
        <v>643.63</v>
      </c>
      <c r="E40" s="38"/>
      <c r="F40" s="38">
        <f>907.78+35.1+45.4+47.5+1.86+46.7+59.6+47.1+61.6+47.5+46.3+34.1-0.06+47.7</f>
        <v>1428.1799999999996</v>
      </c>
      <c r="G40" s="81"/>
      <c r="H40" s="85"/>
      <c r="I40" s="38"/>
      <c r="J40" s="38"/>
      <c r="K40" s="38"/>
      <c r="L40" s="38">
        <f>1007.54-50-66-51-50-37-51</f>
        <v>702.54</v>
      </c>
      <c r="M40" s="38">
        <f t="shared" si="5"/>
        <v>702.54</v>
      </c>
      <c r="N40" s="38">
        <f t="shared" si="7"/>
        <v>0</v>
      </c>
      <c r="O40" s="38">
        <f t="shared" si="8"/>
        <v>0</v>
      </c>
      <c r="P40" s="38">
        <f>1228.46+50+66+51+50+37+51</f>
        <v>1533.46</v>
      </c>
      <c r="Q40" s="39">
        <v>2236</v>
      </c>
    </row>
    <row r="41" spans="1:17">
      <c r="A41" s="13">
        <v>34</v>
      </c>
      <c r="B41" s="36" t="s">
        <v>53</v>
      </c>
      <c r="C41" s="37">
        <f t="shared" si="6"/>
        <v>2104.1699999999996</v>
      </c>
      <c r="D41" s="38">
        <f>1340.56-35.76-36.28-48-62.22-59.22-48+1.5-35.76-48.36-49.25-48+1.67-48.4-61-0.41-49.06-1.14-46.86+0.5</f>
        <v>666.51</v>
      </c>
      <c r="E41" s="38"/>
      <c r="F41" s="38">
        <f>760.29+35.6+35.76+48+62.8+59.22+48+35.69+49.37+48.79-49.38+98.76+60.87+48.21+49.06-0.24+46.86</f>
        <v>1437.6599999999996</v>
      </c>
      <c r="G41" s="81"/>
      <c r="H41" s="85"/>
      <c r="I41" s="38"/>
      <c r="J41" s="38"/>
      <c r="K41" s="38"/>
      <c r="L41" s="38">
        <f>1328.7-58-59-59-59-73-58-59-57</f>
        <v>846.7</v>
      </c>
      <c r="M41" s="38">
        <f t="shared" si="5"/>
        <v>846.7</v>
      </c>
      <c r="N41" s="38">
        <f t="shared" si="7"/>
        <v>0</v>
      </c>
      <c r="O41" s="38">
        <f t="shared" si="8"/>
        <v>0</v>
      </c>
      <c r="P41" s="38">
        <f>1213.3+58+59+59+59+58+73+59+57</f>
        <v>1695.3</v>
      </c>
      <c r="Q41" s="39">
        <v>2542</v>
      </c>
    </row>
    <row r="42" spans="1:17">
      <c r="A42" s="13">
        <v>35</v>
      </c>
      <c r="B42" s="36" t="s">
        <v>54</v>
      </c>
      <c r="C42" s="37">
        <f t="shared" si="6"/>
        <v>964.01</v>
      </c>
      <c r="D42" s="38">
        <f>363.15-49.84-49.32+0.48-40.69</f>
        <v>223.77999999999997</v>
      </c>
      <c r="E42" s="38"/>
      <c r="F42" s="38">
        <f>600.49+49.41+49.23+41.1</f>
        <v>740.23</v>
      </c>
      <c r="G42" s="81"/>
      <c r="H42" s="85"/>
      <c r="I42" s="38"/>
      <c r="J42" s="38"/>
      <c r="K42" s="38"/>
      <c r="L42" s="38">
        <f>664.47-103</f>
        <v>561.47</v>
      </c>
      <c r="M42" s="38">
        <f t="shared" si="5"/>
        <v>561.47</v>
      </c>
      <c r="N42" s="38">
        <f t="shared" si="7"/>
        <v>0</v>
      </c>
      <c r="O42" s="38">
        <f t="shared" si="8"/>
        <v>0</v>
      </c>
      <c r="P42" s="38">
        <f>1746.53+103</f>
        <v>1849.53</v>
      </c>
      <c r="Q42" s="39">
        <v>2411</v>
      </c>
    </row>
    <row r="43" spans="1:17">
      <c r="A43" s="13">
        <v>36</v>
      </c>
      <c r="B43" s="36" t="s">
        <v>55</v>
      </c>
      <c r="C43" s="37">
        <f t="shared" si="6"/>
        <v>765.31999999999994</v>
      </c>
      <c r="D43" s="38">
        <f>375.84+0.96-46.61-29.1-46.9-29.25</f>
        <v>224.93999999999991</v>
      </c>
      <c r="E43" s="38"/>
      <c r="F43" s="38">
        <f>382+48.1+30.3+48.78+30.18+1.02</f>
        <v>540.38</v>
      </c>
      <c r="G43" s="81"/>
      <c r="H43" s="85"/>
      <c r="I43" s="38"/>
      <c r="J43" s="38"/>
      <c r="K43" s="38"/>
      <c r="L43" s="38">
        <f>972.49-121-75-123-75</f>
        <v>578.49</v>
      </c>
      <c r="M43" s="38">
        <f t="shared" si="5"/>
        <v>578.49</v>
      </c>
      <c r="N43" s="38">
        <f t="shared" si="7"/>
        <v>0</v>
      </c>
      <c r="O43" s="38">
        <f t="shared" si="8"/>
        <v>0</v>
      </c>
      <c r="P43" s="38">
        <f>1002.51+121+75+123+75</f>
        <v>1396.51</v>
      </c>
      <c r="Q43" s="39">
        <v>1975</v>
      </c>
    </row>
    <row r="44" spans="1:17">
      <c r="A44" s="13">
        <v>37</v>
      </c>
      <c r="B44" s="36" t="s">
        <v>56</v>
      </c>
      <c r="C44" s="37">
        <f t="shared" si="6"/>
        <v>795.26</v>
      </c>
      <c r="D44" s="38">
        <f>460.19+0.61-49.54-28.9+0.7-0.89-59.5</f>
        <v>322.67</v>
      </c>
      <c r="E44" s="38"/>
      <c r="F44" s="38">
        <f>330.99+49.9+28.9+62.8</f>
        <v>472.59</v>
      </c>
      <c r="G44" s="81"/>
      <c r="H44" s="85"/>
      <c r="I44" s="38"/>
      <c r="J44" s="38"/>
      <c r="K44" s="38"/>
      <c r="L44" s="38">
        <f>1039.08-73-158</f>
        <v>808.07999999999993</v>
      </c>
      <c r="M44" s="38">
        <f t="shared" si="5"/>
        <v>808.07999999999993</v>
      </c>
      <c r="N44" s="38">
        <f t="shared" si="7"/>
        <v>0</v>
      </c>
      <c r="O44" s="38">
        <f t="shared" si="8"/>
        <v>0</v>
      </c>
      <c r="P44" s="38">
        <f>971.92+73+158</f>
        <v>1202.92</v>
      </c>
      <c r="Q44" s="39">
        <v>2011</v>
      </c>
    </row>
    <row r="45" spans="1:17">
      <c r="A45" s="13">
        <v>38</v>
      </c>
      <c r="B45" s="36" t="s">
        <v>57</v>
      </c>
      <c r="C45" s="37">
        <f t="shared" si="6"/>
        <v>235.29000000000002</v>
      </c>
      <c r="D45" s="38">
        <f>136.49-50.01-2.28-49.23+1.68</f>
        <v>36.65000000000002</v>
      </c>
      <c r="E45" s="38"/>
      <c r="F45" s="38">
        <f>100.91+50.01-1.13+49.23-0.38</f>
        <v>198.64</v>
      </c>
      <c r="G45" s="81"/>
      <c r="H45" s="85"/>
      <c r="I45" s="38"/>
      <c r="J45" s="38"/>
      <c r="K45" s="38"/>
      <c r="L45" s="38">
        <f>281.82-175</f>
        <v>106.82</v>
      </c>
      <c r="M45" s="38">
        <f t="shared" si="5"/>
        <v>106.82000000000005</v>
      </c>
      <c r="N45" s="38">
        <f t="shared" si="7"/>
        <v>0</v>
      </c>
      <c r="O45" s="38">
        <f t="shared" si="8"/>
        <v>0</v>
      </c>
      <c r="P45" s="38">
        <f>529.18+175</f>
        <v>704.18</v>
      </c>
      <c r="Q45" s="39">
        <v>811</v>
      </c>
    </row>
    <row r="46" spans="1:17">
      <c r="A46" s="13">
        <v>39</v>
      </c>
      <c r="B46" s="36" t="s">
        <v>58</v>
      </c>
      <c r="C46" s="37">
        <f t="shared" si="6"/>
        <v>793.71</v>
      </c>
      <c r="D46" s="38">
        <f>770.73-0.02-33.39-44.81-44.81</f>
        <v>647.70000000000005</v>
      </c>
      <c r="E46" s="38"/>
      <c r="F46" s="38">
        <f>23+33.39+44.81+44.81</f>
        <v>146.01</v>
      </c>
      <c r="G46" s="81"/>
      <c r="H46" s="85"/>
      <c r="I46" s="38"/>
      <c r="J46" s="38"/>
      <c r="K46" s="38"/>
      <c r="L46" s="38">
        <f>2236.21-77-100-100</f>
        <v>1959.21</v>
      </c>
      <c r="M46" s="38">
        <f t="shared" si="5"/>
        <v>1959.21</v>
      </c>
      <c r="N46" s="38">
        <f t="shared" si="7"/>
        <v>0</v>
      </c>
      <c r="O46" s="38">
        <f t="shared" si="8"/>
        <v>0</v>
      </c>
      <c r="P46" s="38">
        <f>66.79+77+100+100</f>
        <v>343.79</v>
      </c>
      <c r="Q46" s="39">
        <v>2303</v>
      </c>
    </row>
    <row r="47" spans="1:17">
      <c r="A47" s="13">
        <v>40</v>
      </c>
      <c r="B47" s="36" t="s">
        <v>59</v>
      </c>
      <c r="C47" s="37">
        <f t="shared" si="6"/>
        <v>789.59999999999991</v>
      </c>
      <c r="D47" s="38">
        <f>679.66-43.01</f>
        <v>636.65</v>
      </c>
      <c r="E47" s="38"/>
      <c r="F47" s="38">
        <f>109.94+43.01</f>
        <v>152.94999999999999</v>
      </c>
      <c r="G47" s="81"/>
      <c r="H47" s="85"/>
      <c r="I47" s="38"/>
      <c r="J47" s="38"/>
      <c r="K47" s="38"/>
      <c r="L47" s="38">
        <f>1969.05-96</f>
        <v>1873.05</v>
      </c>
      <c r="M47" s="38">
        <f t="shared" si="5"/>
        <v>1873.05</v>
      </c>
      <c r="N47" s="38">
        <f t="shared" si="7"/>
        <v>0</v>
      </c>
      <c r="O47" s="38">
        <f t="shared" si="8"/>
        <v>0</v>
      </c>
      <c r="P47" s="38">
        <f>318.95+96</f>
        <v>414.95</v>
      </c>
      <c r="Q47" s="39">
        <v>2288</v>
      </c>
    </row>
    <row r="48" spans="1:17">
      <c r="A48" s="13">
        <v>41</v>
      </c>
      <c r="B48" s="36" t="s">
        <v>60</v>
      </c>
      <c r="C48" s="37">
        <f t="shared" si="6"/>
        <v>789.6</v>
      </c>
      <c r="D48" s="38">
        <f>711.62-33.4</f>
        <v>678.22</v>
      </c>
      <c r="E48" s="38"/>
      <c r="F48" s="38">
        <f>78+33.38</f>
        <v>111.38</v>
      </c>
      <c r="G48" s="81"/>
      <c r="H48" s="85"/>
      <c r="I48" s="38"/>
      <c r="J48" s="38"/>
      <c r="K48" s="38"/>
      <c r="L48" s="38">
        <v>1964.93</v>
      </c>
      <c r="M48" s="38">
        <f t="shared" si="5"/>
        <v>1964.93</v>
      </c>
      <c r="N48" s="38">
        <f t="shared" si="7"/>
        <v>0</v>
      </c>
      <c r="O48" s="38">
        <f t="shared" si="8"/>
        <v>0</v>
      </c>
      <c r="P48" s="38">
        <v>323.07</v>
      </c>
      <c r="Q48" s="39">
        <v>2288</v>
      </c>
    </row>
    <row r="49" spans="1:17">
      <c r="A49" s="13">
        <v>42</v>
      </c>
      <c r="B49" s="36" t="s">
        <v>61</v>
      </c>
      <c r="C49" s="37">
        <f t="shared" si="6"/>
        <v>987.01</v>
      </c>
      <c r="D49" s="38">
        <f>982.01-43.01-33.38+5</f>
        <v>910.62</v>
      </c>
      <c r="E49" s="38"/>
      <c r="F49" s="38">
        <f>43.01+33.38</f>
        <v>76.39</v>
      </c>
      <c r="G49" s="81"/>
      <c r="H49" s="85"/>
      <c r="I49" s="38"/>
      <c r="J49" s="38"/>
      <c r="K49" s="38"/>
      <c r="L49" s="38">
        <f>2735.3-77</f>
        <v>2658.3</v>
      </c>
      <c r="M49" s="38">
        <f t="shared" si="5"/>
        <v>2658.3</v>
      </c>
      <c r="N49" s="38">
        <f t="shared" si="7"/>
        <v>0</v>
      </c>
      <c r="O49" s="38">
        <f t="shared" si="8"/>
        <v>0</v>
      </c>
      <c r="P49" s="38">
        <f>124.7+77</f>
        <v>201.7</v>
      </c>
      <c r="Q49" s="39">
        <v>2860</v>
      </c>
    </row>
    <row r="50" spans="1:17">
      <c r="A50" s="13">
        <v>43</v>
      </c>
      <c r="B50" s="45" t="s">
        <v>62</v>
      </c>
      <c r="C50" s="37">
        <f t="shared" si="6"/>
        <v>1095.3</v>
      </c>
      <c r="D50" s="38">
        <f>681.8+0.09-48.6-61.3-48.6-48.6-60.9-60.9</f>
        <v>352.99</v>
      </c>
      <c r="E50" s="38"/>
      <c r="F50" s="38">
        <f>414.26+48.43+61.3+48.43+48.43+60.73+60.73</f>
        <v>742.31</v>
      </c>
      <c r="G50" s="81"/>
      <c r="H50" s="85"/>
      <c r="I50" s="38"/>
      <c r="J50" s="38"/>
      <c r="K50" s="38"/>
      <c r="L50" s="38">
        <f>548.03-38-48-39-39-48-48</f>
        <v>288.02999999999997</v>
      </c>
      <c r="M50" s="38">
        <f t="shared" si="5"/>
        <v>288.02999999999997</v>
      </c>
      <c r="N50" s="38">
        <f t="shared" si="7"/>
        <v>0</v>
      </c>
      <c r="O50" s="38">
        <f t="shared" si="8"/>
        <v>0</v>
      </c>
      <c r="P50" s="38">
        <f>318.97+38+48+39+39+48+48</f>
        <v>578.97</v>
      </c>
      <c r="Q50" s="39">
        <v>867</v>
      </c>
    </row>
    <row r="51" spans="1:17">
      <c r="A51" s="13">
        <v>44</v>
      </c>
      <c r="B51" s="36" t="s">
        <v>63</v>
      </c>
      <c r="C51" s="37">
        <f t="shared" si="6"/>
        <v>1751.6</v>
      </c>
      <c r="D51" s="38">
        <f>736.4-72.7-60.3+0.2-60.3-72.5-60.3-60.3-48.4-60.3</f>
        <v>241.50000000000006</v>
      </c>
      <c r="E51" s="38"/>
      <c r="F51" s="38">
        <f>1014.8+72.7+60.3+60.3+72.5+60.3+60.3+48.4+60.5</f>
        <v>1510.1</v>
      </c>
      <c r="G51" s="81"/>
      <c r="H51" s="85"/>
      <c r="I51" s="38"/>
      <c r="J51" s="38"/>
      <c r="K51" s="38"/>
      <c r="L51" s="38">
        <f>619.05-57-70-57-57-47-58</f>
        <v>273.04999999999995</v>
      </c>
      <c r="M51" s="38">
        <f t="shared" si="5"/>
        <v>273.04999999999995</v>
      </c>
      <c r="N51" s="38">
        <f t="shared" si="7"/>
        <v>0</v>
      </c>
      <c r="O51" s="38">
        <f t="shared" si="8"/>
        <v>0</v>
      </c>
      <c r="P51" s="38">
        <f>1041.95+57+70+57+57+47+58</f>
        <v>1387.95</v>
      </c>
      <c r="Q51" s="39">
        <v>1661</v>
      </c>
    </row>
    <row r="52" spans="1:17">
      <c r="A52" s="13">
        <v>45</v>
      </c>
      <c r="B52" s="36" t="s">
        <v>64</v>
      </c>
      <c r="C52" s="37">
        <f t="shared" si="6"/>
        <v>1496.6</v>
      </c>
      <c r="D52" s="38">
        <f>391.9-33.8</f>
        <v>358.09999999999997</v>
      </c>
      <c r="E52" s="38"/>
      <c r="F52" s="38">
        <f>1104.7+33.8</f>
        <v>1138.5</v>
      </c>
      <c r="G52" s="81"/>
      <c r="H52" s="85"/>
      <c r="I52" s="38"/>
      <c r="J52" s="38"/>
      <c r="K52" s="38"/>
      <c r="L52" s="38">
        <v>444.43</v>
      </c>
      <c r="M52" s="38">
        <f t="shared" si="5"/>
        <v>444.43000000000006</v>
      </c>
      <c r="N52" s="38">
        <f t="shared" si="7"/>
        <v>0</v>
      </c>
      <c r="O52" s="38">
        <f t="shared" si="8"/>
        <v>0</v>
      </c>
      <c r="P52" s="38">
        <v>1337.57</v>
      </c>
      <c r="Q52" s="39">
        <v>1782</v>
      </c>
    </row>
    <row r="53" spans="1:17">
      <c r="A53" s="13">
        <v>46</v>
      </c>
      <c r="B53" s="36" t="s">
        <v>65</v>
      </c>
      <c r="C53" s="37">
        <f t="shared" si="6"/>
        <v>1072.56</v>
      </c>
      <c r="D53" s="38">
        <f>438.75-1.94</f>
        <v>436.81</v>
      </c>
      <c r="E53" s="38"/>
      <c r="F53" s="38">
        <f>635.65+0.1</f>
        <v>635.75</v>
      </c>
      <c r="G53" s="81"/>
      <c r="H53" s="85"/>
      <c r="I53" s="38"/>
      <c r="J53" s="38"/>
      <c r="K53" s="38"/>
      <c r="L53" s="38">
        <v>856.92</v>
      </c>
      <c r="M53" s="38">
        <f t="shared" si="5"/>
        <v>856.92000000000007</v>
      </c>
      <c r="N53" s="38">
        <f t="shared" si="7"/>
        <v>0</v>
      </c>
      <c r="O53" s="38">
        <f t="shared" si="8"/>
        <v>0</v>
      </c>
      <c r="P53" s="38">
        <v>1250.08</v>
      </c>
      <c r="Q53" s="39">
        <v>2107</v>
      </c>
    </row>
    <row r="54" spans="1:17">
      <c r="A54" s="13">
        <v>47</v>
      </c>
      <c r="B54" s="36" t="s">
        <v>66</v>
      </c>
      <c r="C54" s="37">
        <f t="shared" si="6"/>
        <v>2120.4399999999996</v>
      </c>
      <c r="D54" s="38">
        <f>1162.23-60.68-59.45+0.5+4.84-49.77-50.28-46.58-49+0.48-47.84-0.43-50.37-37.9-49+0.8</f>
        <v>667.54999999999984</v>
      </c>
      <c r="E54" s="38"/>
      <c r="F54" s="38">
        <f>951.03+60.68+59.45+49.77+50.28+46.58+50.28+48.05+49.87+37.9+49</f>
        <v>1452.8899999999996</v>
      </c>
      <c r="G54" s="81"/>
      <c r="H54" s="85"/>
      <c r="I54" s="38"/>
      <c r="J54" s="38"/>
      <c r="K54" s="38"/>
      <c r="L54" s="38">
        <f>373.52-18-18-16-18-17-18-13-17</f>
        <v>238.51999999999998</v>
      </c>
      <c r="M54" s="38">
        <f t="shared" si="5"/>
        <v>238.51999999999998</v>
      </c>
      <c r="N54" s="38">
        <f t="shared" si="7"/>
        <v>0</v>
      </c>
      <c r="O54" s="38">
        <f t="shared" si="8"/>
        <v>0</v>
      </c>
      <c r="P54" s="38">
        <f>378.48+18+18+16+18+17+18+13+17</f>
        <v>513.48</v>
      </c>
      <c r="Q54" s="39">
        <v>752</v>
      </c>
    </row>
    <row r="55" spans="1:17">
      <c r="A55" s="13">
        <v>48</v>
      </c>
      <c r="B55" s="36" t="s">
        <v>67</v>
      </c>
      <c r="C55" s="37">
        <f t="shared" si="6"/>
        <v>1071.93</v>
      </c>
      <c r="D55" s="38">
        <f>446.56-49.01</f>
        <v>397.55</v>
      </c>
      <c r="E55" s="38"/>
      <c r="F55" s="38">
        <f>625.37+49.01</f>
        <v>674.38</v>
      </c>
      <c r="G55" s="81"/>
      <c r="H55" s="85"/>
      <c r="I55" s="38"/>
      <c r="J55" s="38"/>
      <c r="K55" s="38"/>
      <c r="L55" s="38">
        <v>450.95</v>
      </c>
      <c r="M55" s="38">
        <f t="shared" si="5"/>
        <v>450.95000000000005</v>
      </c>
      <c r="N55" s="38">
        <f t="shared" si="7"/>
        <v>0</v>
      </c>
      <c r="O55" s="38">
        <f t="shared" si="8"/>
        <v>0</v>
      </c>
      <c r="P55" s="38">
        <v>809.05</v>
      </c>
      <c r="Q55" s="39">
        <v>1260</v>
      </c>
    </row>
    <row r="56" spans="1:17">
      <c r="A56" s="13">
        <v>49</v>
      </c>
      <c r="B56" s="45" t="s">
        <v>68</v>
      </c>
      <c r="C56" s="37">
        <f t="shared" si="6"/>
        <v>643.44000000000005</v>
      </c>
      <c r="D56" s="38">
        <f>322.39-46.89-0.51-61.16</f>
        <v>213.83</v>
      </c>
      <c r="E56" s="38"/>
      <c r="F56" s="38">
        <f>320.29+47.53+0.63+61.16</f>
        <v>429.61</v>
      </c>
      <c r="G56" s="81"/>
      <c r="H56" s="85"/>
      <c r="I56" s="38"/>
      <c r="J56" s="38"/>
      <c r="K56" s="38"/>
      <c r="L56" s="38">
        <f>376.63-54-70</f>
        <v>252.63</v>
      </c>
      <c r="M56" s="38">
        <f t="shared" si="5"/>
        <v>252.63</v>
      </c>
      <c r="N56" s="38">
        <f t="shared" si="7"/>
        <v>0</v>
      </c>
      <c r="O56" s="38">
        <f t="shared" si="8"/>
        <v>0</v>
      </c>
      <c r="P56" s="38">
        <f>366.37+54+70</f>
        <v>490.37</v>
      </c>
      <c r="Q56" s="39">
        <v>743</v>
      </c>
    </row>
    <row r="57" spans="1:17">
      <c r="A57" s="13">
        <v>50</v>
      </c>
      <c r="B57" s="36" t="s">
        <v>69</v>
      </c>
      <c r="C57" s="37">
        <f t="shared" si="6"/>
        <v>1027.7199999999998</v>
      </c>
      <c r="D57" s="38">
        <f>586.81-2.09-89.94-37.1+0.19</f>
        <v>457.86999999999989</v>
      </c>
      <c r="E57" s="38"/>
      <c r="F57" s="38">
        <f>444.63+88.68+36.54</f>
        <v>569.84999999999991</v>
      </c>
      <c r="G57" s="81"/>
      <c r="H57" s="85"/>
      <c r="I57" s="38"/>
      <c r="J57" s="38"/>
      <c r="K57" s="38"/>
      <c r="L57" s="38">
        <f>663.17-50</f>
        <v>613.16999999999996</v>
      </c>
      <c r="M57" s="38">
        <f t="shared" si="5"/>
        <v>613.16999999999996</v>
      </c>
      <c r="N57" s="38">
        <f t="shared" si="7"/>
        <v>0</v>
      </c>
      <c r="O57" s="38">
        <f t="shared" si="8"/>
        <v>0</v>
      </c>
      <c r="P57" s="38">
        <f>726.83+50</f>
        <v>776.83</v>
      </c>
      <c r="Q57" s="39">
        <v>1390</v>
      </c>
    </row>
    <row r="58" spans="1:17">
      <c r="A58" s="13">
        <v>51</v>
      </c>
      <c r="B58" s="45" t="s">
        <v>70</v>
      </c>
      <c r="C58" s="37">
        <f t="shared" si="6"/>
        <v>3252.81</v>
      </c>
      <c r="D58" s="38">
        <f>2024.44+4.21+0.03-37.1-36.19-18.64-37.4+0.4+1.16-0.61+1.82+0.4+1.04+0.23+0.86-36.47-47.27-48.2</f>
        <v>1772.71</v>
      </c>
      <c r="E58" s="38"/>
      <c r="F58" s="38">
        <f>1175.4+37.8+37.8+37.8+19.3+37.8+37.8+48.2+48.2</f>
        <v>1480.1</v>
      </c>
      <c r="G58" s="81"/>
      <c r="H58" s="85"/>
      <c r="I58" s="38"/>
      <c r="J58" s="38"/>
      <c r="K58" s="38"/>
      <c r="L58" s="38">
        <f>292-5-5-3-5+712-19-25-25</f>
        <v>917</v>
      </c>
      <c r="M58" s="38">
        <f t="shared" si="5"/>
        <v>917</v>
      </c>
      <c r="N58" s="38">
        <f t="shared" si="7"/>
        <v>0</v>
      </c>
      <c r="O58" s="38">
        <f t="shared" si="8"/>
        <v>0</v>
      </c>
      <c r="P58" s="38">
        <f>172+5+5+3+5+497+19+25+25</f>
        <v>756</v>
      </c>
      <c r="Q58" s="39">
        <f>464+1209</f>
        <v>1673</v>
      </c>
    </row>
    <row r="59" spans="1:17">
      <c r="A59" s="13">
        <v>52</v>
      </c>
      <c r="B59" s="45" t="s">
        <v>71</v>
      </c>
      <c r="C59" s="37">
        <f t="shared" si="6"/>
        <v>1035.6999999999998</v>
      </c>
      <c r="D59" s="38">
        <f>609.91-45.1-35.7+0.73+0.14+0.43+0.18-35.4</f>
        <v>495.18999999999983</v>
      </c>
      <c r="E59" s="38"/>
      <c r="F59" s="38">
        <f>423.73+45.2+35.8+36.4-0.62</f>
        <v>540.51</v>
      </c>
      <c r="G59" s="81"/>
      <c r="H59" s="85"/>
      <c r="I59" s="38"/>
      <c r="J59" s="38"/>
      <c r="K59" s="38"/>
      <c r="L59" s="38">
        <f>910.08-62-49-49</f>
        <v>750.08</v>
      </c>
      <c r="M59" s="38">
        <f t="shared" si="5"/>
        <v>750.08</v>
      </c>
      <c r="N59" s="38">
        <f t="shared" si="7"/>
        <v>0</v>
      </c>
      <c r="O59" s="38">
        <f t="shared" si="8"/>
        <v>0</v>
      </c>
      <c r="P59" s="38">
        <f>513.92+62+49+49</f>
        <v>673.92</v>
      </c>
      <c r="Q59" s="39">
        <v>1424</v>
      </c>
    </row>
    <row r="60" spans="1:17">
      <c r="A60" s="13">
        <v>53</v>
      </c>
      <c r="B60" s="45" t="s">
        <v>72</v>
      </c>
      <c r="C60" s="37">
        <f t="shared" si="6"/>
        <v>769.18000000000006</v>
      </c>
      <c r="D60" s="55">
        <f>549.24-0.96+1+1.01-4</f>
        <v>546.29</v>
      </c>
      <c r="E60" s="55"/>
      <c r="F60" s="55">
        <v>70.59</v>
      </c>
      <c r="G60" s="82">
        <v>152.30000000000001</v>
      </c>
      <c r="H60" s="87"/>
      <c r="I60" s="55"/>
      <c r="J60" s="55"/>
      <c r="K60" s="55"/>
      <c r="L60" s="55">
        <v>445.36</v>
      </c>
      <c r="M60" s="55">
        <f t="shared" si="5"/>
        <v>445.36</v>
      </c>
      <c r="N60" s="55">
        <f t="shared" si="7"/>
        <v>93.840000000000032</v>
      </c>
      <c r="O60" s="53">
        <f t="shared" si="8"/>
        <v>0</v>
      </c>
      <c r="P60" s="53">
        <v>84.8</v>
      </c>
      <c r="Q60" s="54">
        <v>624</v>
      </c>
    </row>
    <row r="61" spans="1:17">
      <c r="A61" s="13">
        <v>54</v>
      </c>
      <c r="B61" s="45" t="s">
        <v>73</v>
      </c>
      <c r="C61" s="37">
        <f t="shared" si="6"/>
        <v>471.94999999999993</v>
      </c>
      <c r="D61" s="38">
        <f>297.95+2.71+0.33-36+36-48.34+7.3</f>
        <v>259.94999999999993</v>
      </c>
      <c r="E61" s="38"/>
      <c r="F61" s="38">
        <f>66.1+35.5+49.4</f>
        <v>151</v>
      </c>
      <c r="G61" s="81"/>
      <c r="H61" s="85"/>
      <c r="I61" s="38"/>
      <c r="J61" s="38"/>
      <c r="K61" s="38">
        <v>61</v>
      </c>
      <c r="L61" s="38">
        <f>263.37-42</f>
        <v>221.37</v>
      </c>
      <c r="M61" s="38">
        <f t="shared" si="5"/>
        <v>221.37</v>
      </c>
      <c r="N61" s="38">
        <f t="shared" si="7"/>
        <v>0</v>
      </c>
      <c r="O61" s="38">
        <v>0</v>
      </c>
      <c r="P61" s="38">
        <f>126.63+42</f>
        <v>168.63</v>
      </c>
      <c r="Q61" s="39">
        <v>390</v>
      </c>
    </row>
    <row r="62" spans="1:17">
      <c r="A62" s="13">
        <v>55</v>
      </c>
      <c r="B62" s="45" t="s">
        <v>74</v>
      </c>
      <c r="C62" s="37">
        <f t="shared" si="6"/>
        <v>872.33999999999992</v>
      </c>
      <c r="D62" s="55">
        <f>326.58-91.86+0.95+27.6+64.26</f>
        <v>327.52999999999997</v>
      </c>
      <c r="E62" s="55"/>
      <c r="F62" s="55">
        <v>329.11</v>
      </c>
      <c r="G62" s="82">
        <v>10</v>
      </c>
      <c r="H62" s="87"/>
      <c r="I62" s="55"/>
      <c r="J62" s="55"/>
      <c r="K62" s="55">
        <v>205.7</v>
      </c>
      <c r="L62" s="55">
        <v>337.11</v>
      </c>
      <c r="M62" s="55">
        <f t="shared" si="5"/>
        <v>337.11</v>
      </c>
      <c r="N62" s="55">
        <f t="shared" si="7"/>
        <v>10.569999999999936</v>
      </c>
      <c r="O62" s="55">
        <v>0</v>
      </c>
      <c r="P62" s="55">
        <v>573.32000000000005</v>
      </c>
      <c r="Q62" s="39">
        <v>921</v>
      </c>
    </row>
    <row r="63" spans="1:17">
      <c r="A63" s="13">
        <v>56</v>
      </c>
      <c r="B63" s="45" t="s">
        <v>75</v>
      </c>
      <c r="C63" s="37">
        <f t="shared" si="6"/>
        <v>410.09999999999997</v>
      </c>
      <c r="D63" s="38">
        <f>281.53+0.1-0.6+4.2-1.37-1.06</f>
        <v>282.79999999999995</v>
      </c>
      <c r="E63" s="38"/>
      <c r="F63" s="38"/>
      <c r="G63" s="81"/>
      <c r="H63" s="85"/>
      <c r="I63" s="38"/>
      <c r="J63" s="38"/>
      <c r="K63" s="38">
        <v>127.3</v>
      </c>
      <c r="L63" s="38">
        <v>360.06</v>
      </c>
      <c r="M63" s="38">
        <f t="shared" si="5"/>
        <v>360.06</v>
      </c>
      <c r="N63" s="38">
        <f t="shared" si="7"/>
        <v>0</v>
      </c>
      <c r="O63" s="38"/>
      <c r="P63" s="38">
        <v>149.94</v>
      </c>
      <c r="Q63" s="39">
        <v>510</v>
      </c>
    </row>
    <row r="64" spans="1:17">
      <c r="A64" s="13">
        <v>57</v>
      </c>
      <c r="B64" s="36" t="s">
        <v>76</v>
      </c>
      <c r="C64" s="37">
        <f t="shared" si="6"/>
        <v>1660.9999999999998</v>
      </c>
      <c r="D64" s="38">
        <f>894.6-47.1-53.6-47.1-47.1-53.6-65.4-47.1-65.4-53.6-47.1-53.6</f>
        <v>313.89999999999986</v>
      </c>
      <c r="E64" s="38"/>
      <c r="F64" s="38">
        <f>766.4+47.1+53.6+47.1+47.1+53.6+65.4+47.1+65.4+53.6+47.1+53.6</f>
        <v>1347.1</v>
      </c>
      <c r="G64" s="81"/>
      <c r="H64" s="85"/>
      <c r="I64" s="38"/>
      <c r="J64" s="38"/>
      <c r="K64" s="38"/>
      <c r="L64" s="38">
        <f>946.13-47-53-48-48-54-65-49-64-51-53-53</f>
        <v>361.13</v>
      </c>
      <c r="M64" s="38">
        <f t="shared" ref="M64:M95" si="9">Q64-P64-O64-N64</f>
        <v>361.13000000000011</v>
      </c>
      <c r="N64" s="38">
        <f t="shared" si="7"/>
        <v>0</v>
      </c>
      <c r="O64" s="38">
        <f t="shared" ref="O64:O90" si="10">K64*Q64/C64</f>
        <v>0</v>
      </c>
      <c r="P64" s="38">
        <f>767.87+47+53+48+48+54+65+49+64+53+51+53</f>
        <v>1352.87</v>
      </c>
      <c r="Q64" s="39">
        <v>1714</v>
      </c>
    </row>
    <row r="65" spans="1:17">
      <c r="A65" s="13">
        <v>58</v>
      </c>
      <c r="B65" s="40" t="s">
        <v>77</v>
      </c>
      <c r="C65" s="37">
        <f t="shared" si="6"/>
        <v>4303.5599999999995</v>
      </c>
      <c r="D65" s="55">
        <v>1748.23</v>
      </c>
      <c r="E65" s="55"/>
      <c r="F65" s="55">
        <v>2555.33</v>
      </c>
      <c r="G65" s="82"/>
      <c r="H65" s="87"/>
      <c r="I65" s="55"/>
      <c r="J65" s="55"/>
      <c r="K65" s="55"/>
      <c r="L65" s="55">
        <f>3251.38-47-59-47-59-48-72-59-47-72-48-48-59-184-72-48-60-59</f>
        <v>2163.38</v>
      </c>
      <c r="M65" s="42">
        <f t="shared" si="9"/>
        <v>2163.38</v>
      </c>
      <c r="N65" s="42">
        <f t="shared" si="7"/>
        <v>0</v>
      </c>
      <c r="O65" s="42">
        <f t="shared" si="10"/>
        <v>0</v>
      </c>
      <c r="P65" s="42">
        <f>2108.62+47+59+47+59+48+72+59+47+72+155+184+72+48+60+59</f>
        <v>3196.62</v>
      </c>
      <c r="Q65" s="43">
        <v>5360</v>
      </c>
    </row>
    <row r="66" spans="1:17">
      <c r="A66" s="13">
        <v>59</v>
      </c>
      <c r="B66" s="36" t="s">
        <v>78</v>
      </c>
      <c r="C66" s="37">
        <f t="shared" si="6"/>
        <v>3105.28</v>
      </c>
      <c r="D66" s="38">
        <f>2224.76-46.89-123.09-46.85-38.95-37.33-46.7-61.56-37.67-47.7-29.29-46.93-47.33-61.05</f>
        <v>1553.4200000000003</v>
      </c>
      <c r="E66" s="38"/>
      <c r="F66" s="38">
        <f>880.49+46.89+123.09+46.85+38.95+37.33+61.56+37.67+47.7+29.29+46.93+46.73+47.33+61.05</f>
        <v>1551.86</v>
      </c>
      <c r="G66" s="81"/>
      <c r="H66" s="85"/>
      <c r="I66" s="38"/>
      <c r="J66" s="38"/>
      <c r="K66" s="38"/>
      <c r="L66" s="38">
        <f>506.6-12-16-10-13-8-12-13-16</f>
        <v>406.6</v>
      </c>
      <c r="M66" s="38">
        <f t="shared" si="9"/>
        <v>406.6</v>
      </c>
      <c r="N66" s="38">
        <f t="shared" si="7"/>
        <v>0</v>
      </c>
      <c r="O66" s="38">
        <f t="shared" si="10"/>
        <v>0</v>
      </c>
      <c r="P66" s="38">
        <f>308.4+12+16+10+13+8+12+13+16</f>
        <v>408.4</v>
      </c>
      <c r="Q66" s="39">
        <v>815</v>
      </c>
    </row>
    <row r="67" spans="1:17">
      <c r="A67" s="13">
        <v>60</v>
      </c>
      <c r="B67" s="36" t="s">
        <v>79</v>
      </c>
      <c r="C67" s="37">
        <f t="shared" si="6"/>
        <v>186.51</v>
      </c>
      <c r="D67" s="38">
        <v>93.13</v>
      </c>
      <c r="E67" s="38"/>
      <c r="F67" s="38">
        <v>93.38</v>
      </c>
      <c r="G67" s="81"/>
      <c r="H67" s="85"/>
      <c r="I67" s="38"/>
      <c r="J67" s="38"/>
      <c r="K67" s="38"/>
      <c r="L67" s="38">
        <v>246.11</v>
      </c>
      <c r="M67" s="38">
        <f t="shared" si="9"/>
        <v>246.11</v>
      </c>
      <c r="N67" s="38">
        <f t="shared" si="7"/>
        <v>0</v>
      </c>
      <c r="O67" s="38">
        <f t="shared" si="10"/>
        <v>0</v>
      </c>
      <c r="P67" s="38">
        <v>249.49</v>
      </c>
      <c r="Q67" s="39">
        <v>495.6</v>
      </c>
    </row>
    <row r="68" spans="1:17">
      <c r="A68" s="13">
        <v>61</v>
      </c>
      <c r="B68" s="36" t="s">
        <v>80</v>
      </c>
      <c r="C68" s="37">
        <f t="shared" ref="C68:C99" si="11">D68+E68+F68+G68+H68+I68+J68+K68</f>
        <v>231.57</v>
      </c>
      <c r="D68" s="38">
        <f>29.09-0.03+0.02+0.02-0.01</f>
        <v>29.089999999999996</v>
      </c>
      <c r="E68" s="38"/>
      <c r="F68" s="38">
        <v>202.48</v>
      </c>
      <c r="G68" s="81"/>
      <c r="H68" s="85"/>
      <c r="I68" s="38"/>
      <c r="J68" s="38"/>
      <c r="K68" s="38"/>
      <c r="L68" s="38">
        <f>Q68-P68</f>
        <v>377.8599999999999</v>
      </c>
      <c r="M68" s="38">
        <f t="shared" si="9"/>
        <v>377.8599999999999</v>
      </c>
      <c r="N68" s="38">
        <f t="shared" ref="N68:N94" si="12">Q68-P68-L68</f>
        <v>0</v>
      </c>
      <c r="O68" s="38">
        <f t="shared" si="10"/>
        <v>0</v>
      </c>
      <c r="P68" s="38">
        <v>1217.1400000000001</v>
      </c>
      <c r="Q68" s="39">
        <v>1595</v>
      </c>
    </row>
    <row r="69" spans="1:17">
      <c r="A69" s="13">
        <v>62</v>
      </c>
      <c r="B69" s="36" t="s">
        <v>81</v>
      </c>
      <c r="C69" s="37">
        <f t="shared" si="11"/>
        <v>404.96</v>
      </c>
      <c r="D69" s="38">
        <f>50.62-0.02+0.02</f>
        <v>50.62</v>
      </c>
      <c r="E69" s="38"/>
      <c r="F69" s="38">
        <v>354.34</v>
      </c>
      <c r="G69" s="81"/>
      <c r="H69" s="85"/>
      <c r="I69" s="38"/>
      <c r="J69" s="38"/>
      <c r="K69" s="38"/>
      <c r="L69" s="38">
        <v>265.74</v>
      </c>
      <c r="M69" s="38">
        <f t="shared" si="9"/>
        <v>265.74</v>
      </c>
      <c r="N69" s="38">
        <f t="shared" si="12"/>
        <v>0</v>
      </c>
      <c r="O69" s="38">
        <f t="shared" si="10"/>
        <v>0</v>
      </c>
      <c r="P69" s="38">
        <v>1865.26</v>
      </c>
      <c r="Q69" s="39">
        <v>2131</v>
      </c>
    </row>
    <row r="70" spans="1:17">
      <c r="A70" s="13">
        <v>63</v>
      </c>
      <c r="B70" s="36" t="s">
        <v>82</v>
      </c>
      <c r="C70" s="37">
        <f t="shared" si="11"/>
        <v>2106.1200000000003</v>
      </c>
      <c r="D70" s="38">
        <f>1173.11-109.77-47.39-47.39-61.41-0.03+0.01-0.03-48.37-46.2+0.04</f>
        <v>812.56999999999994</v>
      </c>
      <c r="E70" s="38"/>
      <c r="F70" s="38">
        <f>932.95+109.9+47.4+47.4+61.4+48.5+46</f>
        <v>1293.5500000000004</v>
      </c>
      <c r="G70" s="81"/>
      <c r="H70" s="85"/>
      <c r="I70" s="38"/>
      <c r="J70" s="38"/>
      <c r="K70" s="38"/>
      <c r="L70" s="38">
        <f>1225.06-66-62</f>
        <v>1097.06</v>
      </c>
      <c r="M70" s="38">
        <f t="shared" si="9"/>
        <v>1097.06</v>
      </c>
      <c r="N70" s="38">
        <f t="shared" si="12"/>
        <v>0</v>
      </c>
      <c r="O70" s="38">
        <f t="shared" si="10"/>
        <v>0</v>
      </c>
      <c r="P70" s="38">
        <f>1621.94+66+62</f>
        <v>1749.94</v>
      </c>
      <c r="Q70" s="39">
        <v>2847</v>
      </c>
    </row>
    <row r="71" spans="1:17">
      <c r="A71" s="13">
        <v>64</v>
      </c>
      <c r="B71" s="36" t="s">
        <v>83</v>
      </c>
      <c r="C71" s="37">
        <f t="shared" si="11"/>
        <v>180.7</v>
      </c>
      <c r="D71" s="38">
        <f>85.7+49-4.65-34.6+26.43+1.02</f>
        <v>122.89999999999999</v>
      </c>
      <c r="E71" s="38"/>
      <c r="F71" s="38">
        <f>57.8</f>
        <v>57.8</v>
      </c>
      <c r="G71" s="81"/>
      <c r="H71" s="85"/>
      <c r="I71" s="38"/>
      <c r="J71" s="38"/>
      <c r="K71" s="38"/>
      <c r="L71" s="38">
        <f>602.48+27.34</f>
        <v>629.82000000000005</v>
      </c>
      <c r="M71" s="38">
        <f t="shared" si="9"/>
        <v>629.81999999999994</v>
      </c>
      <c r="N71" s="38">
        <f t="shared" si="12"/>
        <v>0</v>
      </c>
      <c r="O71" s="38">
        <f t="shared" si="10"/>
        <v>0</v>
      </c>
      <c r="P71" s="38">
        <v>231.18</v>
      </c>
      <c r="Q71" s="39">
        <v>861</v>
      </c>
    </row>
    <row r="72" spans="1:17">
      <c r="A72" s="13">
        <v>65</v>
      </c>
      <c r="B72" s="36" t="s">
        <v>84</v>
      </c>
      <c r="C72" s="37">
        <f t="shared" si="11"/>
        <v>437.43000000000006</v>
      </c>
      <c r="D72" s="38">
        <f>364.78-0.09+24.6-3.31-1+0.73-44.28-2.3</f>
        <v>339.13000000000005</v>
      </c>
      <c r="E72" s="38"/>
      <c r="F72" s="38">
        <f>54.02+44.28</f>
        <v>98.300000000000011</v>
      </c>
      <c r="G72" s="81"/>
      <c r="H72" s="85"/>
      <c r="I72" s="38"/>
      <c r="J72" s="38"/>
      <c r="K72" s="38"/>
      <c r="L72" s="38">
        <v>2950.17</v>
      </c>
      <c r="M72" s="38">
        <f t="shared" si="9"/>
        <v>5418.17</v>
      </c>
      <c r="N72" s="38"/>
      <c r="O72" s="38">
        <f t="shared" si="10"/>
        <v>0</v>
      </c>
      <c r="P72" s="38">
        <f>835.83+141</f>
        <v>976.83</v>
      </c>
      <c r="Q72" s="39">
        <v>6395</v>
      </c>
    </row>
    <row r="73" spans="1:17">
      <c r="A73" s="13">
        <v>66</v>
      </c>
      <c r="B73" s="36" t="s">
        <v>85</v>
      </c>
      <c r="C73" s="37">
        <f t="shared" si="11"/>
        <v>198.32</v>
      </c>
      <c r="D73" s="38">
        <v>94</v>
      </c>
      <c r="E73" s="38"/>
      <c r="F73" s="38">
        <v>104.32</v>
      </c>
      <c r="G73" s="81"/>
      <c r="H73" s="85"/>
      <c r="I73" s="38"/>
      <c r="J73" s="38"/>
      <c r="K73" s="38"/>
      <c r="L73" s="38">
        <v>694.45</v>
      </c>
      <c r="M73" s="38">
        <f t="shared" si="9"/>
        <v>694.45</v>
      </c>
      <c r="N73" s="38">
        <f t="shared" si="12"/>
        <v>0</v>
      </c>
      <c r="O73" s="38">
        <f t="shared" si="10"/>
        <v>0</v>
      </c>
      <c r="P73" s="38">
        <v>622.54999999999995</v>
      </c>
      <c r="Q73" s="39">
        <v>1317</v>
      </c>
    </row>
    <row r="74" spans="1:17">
      <c r="A74" s="13">
        <v>67</v>
      </c>
      <c r="B74" s="75" t="s">
        <v>86</v>
      </c>
      <c r="C74" s="37">
        <f t="shared" si="11"/>
        <v>3268.09</v>
      </c>
      <c r="D74" s="55">
        <f>2371.4-95.12-0.05-47.87-38.15-29.71-47.87-38.94-47.87+12-47.87-0.03-86.02</f>
        <v>1903.9000000000003</v>
      </c>
      <c r="E74" s="55"/>
      <c r="F74" s="55">
        <f>884.77+95.12+47.87+38.15+29.71+47.87+38.94+47.87+47.87+86.02</f>
        <v>1364.1899999999998</v>
      </c>
      <c r="G74" s="82"/>
      <c r="H74" s="87"/>
      <c r="I74" s="55"/>
      <c r="J74" s="55"/>
      <c r="K74" s="55"/>
      <c r="L74" s="55">
        <v>1569.94</v>
      </c>
      <c r="M74" s="55">
        <f t="shared" si="9"/>
        <v>1569.94</v>
      </c>
      <c r="N74" s="55">
        <f t="shared" si="12"/>
        <v>0</v>
      </c>
      <c r="O74" s="42">
        <f t="shared" si="10"/>
        <v>0</v>
      </c>
      <c r="P74" s="42">
        <v>1125.06</v>
      </c>
      <c r="Q74" s="43">
        <f>836+1859</f>
        <v>2695</v>
      </c>
    </row>
    <row r="75" spans="1:17">
      <c r="A75" s="13">
        <v>68</v>
      </c>
      <c r="B75" s="36" t="s">
        <v>87</v>
      </c>
      <c r="C75" s="37">
        <f t="shared" si="11"/>
        <v>644.32000000000005</v>
      </c>
      <c r="D75" s="38">
        <f>478.98+2</f>
        <v>480.98</v>
      </c>
      <c r="E75" s="38"/>
      <c r="F75" s="44">
        <v>163.34</v>
      </c>
      <c r="G75" s="81"/>
      <c r="H75" s="85"/>
      <c r="I75" s="38"/>
      <c r="J75" s="38"/>
      <c r="K75" s="38"/>
      <c r="L75" s="38">
        <v>441.1</v>
      </c>
      <c r="M75" s="38">
        <f t="shared" si="9"/>
        <v>441.1</v>
      </c>
      <c r="N75" s="38">
        <f t="shared" si="12"/>
        <v>0</v>
      </c>
      <c r="O75" s="38">
        <f t="shared" si="10"/>
        <v>0</v>
      </c>
      <c r="P75" s="38">
        <v>139.9</v>
      </c>
      <c r="Q75" s="39">
        <v>581</v>
      </c>
    </row>
    <row r="76" spans="1:17">
      <c r="A76" s="13">
        <v>69</v>
      </c>
      <c r="B76" s="36" t="s">
        <v>88</v>
      </c>
      <c r="C76" s="37">
        <f t="shared" si="11"/>
        <v>419.7</v>
      </c>
      <c r="D76" s="38">
        <f>365.38-0.49</f>
        <v>364.89</v>
      </c>
      <c r="E76" s="38"/>
      <c r="F76" s="44">
        <v>54.81</v>
      </c>
      <c r="G76" s="81"/>
      <c r="H76" s="85"/>
      <c r="I76" s="38"/>
      <c r="J76" s="38"/>
      <c r="K76" s="38"/>
      <c r="L76" s="38">
        <v>1628.77</v>
      </c>
      <c r="M76" s="38">
        <f t="shared" si="9"/>
        <v>1628.77</v>
      </c>
      <c r="N76" s="38">
        <f t="shared" si="12"/>
        <v>0</v>
      </c>
      <c r="O76" s="38">
        <f t="shared" si="10"/>
        <v>0</v>
      </c>
      <c r="P76" s="38">
        <v>278.23</v>
      </c>
      <c r="Q76" s="39">
        <v>1907</v>
      </c>
    </row>
    <row r="77" spans="1:17">
      <c r="A77" s="13">
        <v>70</v>
      </c>
      <c r="B77" s="36" t="s">
        <v>89</v>
      </c>
      <c r="C77" s="37">
        <f t="shared" si="11"/>
        <v>702.86</v>
      </c>
      <c r="D77" s="38">
        <f>505.16+2.54-3.55+0.4</f>
        <v>504.55</v>
      </c>
      <c r="E77" s="38"/>
      <c r="F77" s="44">
        <v>198.31</v>
      </c>
      <c r="G77" s="81"/>
      <c r="H77" s="85"/>
      <c r="I77" s="38"/>
      <c r="J77" s="38"/>
      <c r="K77" s="38"/>
      <c r="L77" s="38">
        <v>559.91</v>
      </c>
      <c r="M77" s="38">
        <f t="shared" si="9"/>
        <v>559.91</v>
      </c>
      <c r="N77" s="38">
        <f t="shared" si="12"/>
        <v>0</v>
      </c>
      <c r="O77" s="38">
        <f t="shared" si="10"/>
        <v>0</v>
      </c>
      <c r="P77" s="38">
        <v>217.09</v>
      </c>
      <c r="Q77" s="39">
        <v>777</v>
      </c>
    </row>
    <row r="78" spans="1:17">
      <c r="A78" s="13">
        <v>71</v>
      </c>
      <c r="B78" s="36" t="s">
        <v>90</v>
      </c>
      <c r="C78" s="37">
        <f t="shared" si="11"/>
        <v>357.26</v>
      </c>
      <c r="D78" s="38">
        <f>290.75-56.77+0.12+7.21+0.42-0.03</f>
        <v>241.7</v>
      </c>
      <c r="E78" s="38"/>
      <c r="F78" s="38">
        <v>115.56</v>
      </c>
      <c r="G78" s="81"/>
      <c r="H78" s="85"/>
      <c r="I78" s="38"/>
      <c r="J78" s="38"/>
      <c r="K78" s="38"/>
      <c r="L78" s="38">
        <v>332.21</v>
      </c>
      <c r="M78" s="38">
        <f t="shared" si="9"/>
        <v>332.21</v>
      </c>
      <c r="N78" s="38">
        <f t="shared" si="12"/>
        <v>0</v>
      </c>
      <c r="O78" s="38">
        <f t="shared" si="10"/>
        <v>0</v>
      </c>
      <c r="P78" s="38">
        <v>127.79</v>
      </c>
      <c r="Q78" s="39">
        <v>460</v>
      </c>
    </row>
    <row r="79" spans="1:17">
      <c r="A79" s="13">
        <v>72</v>
      </c>
      <c r="B79" s="36" t="s">
        <v>91</v>
      </c>
      <c r="C79" s="37">
        <f t="shared" si="11"/>
        <v>2224.5699999999997</v>
      </c>
      <c r="D79" s="38">
        <f>1285.27+0.46-0.19+6.87+4.34+3.59-0.35-1.07+14.12</f>
        <v>1313.0399999999997</v>
      </c>
      <c r="E79" s="38"/>
      <c r="F79" s="38">
        <v>631.6</v>
      </c>
      <c r="G79" s="81">
        <f>23.3-2.2-3.88+46+163.09+53.62</f>
        <v>279.93</v>
      </c>
      <c r="H79" s="85"/>
      <c r="I79" s="38"/>
      <c r="J79" s="38"/>
      <c r="K79" s="38"/>
      <c r="L79" s="38">
        <v>2343.66</v>
      </c>
      <c r="M79" s="38">
        <f t="shared" si="9"/>
        <v>2343.66</v>
      </c>
      <c r="N79" s="38">
        <f t="shared" si="12"/>
        <v>141.98000000000047</v>
      </c>
      <c r="O79" s="38">
        <f t="shared" si="10"/>
        <v>0</v>
      </c>
      <c r="P79" s="38">
        <v>1341.36</v>
      </c>
      <c r="Q79" s="39">
        <v>3827</v>
      </c>
    </row>
    <row r="80" spans="1:17">
      <c r="A80" s="13">
        <v>73</v>
      </c>
      <c r="B80" s="36" t="s">
        <v>92</v>
      </c>
      <c r="C80" s="37">
        <f t="shared" si="11"/>
        <v>1190</v>
      </c>
      <c r="D80" s="38">
        <f>297.4-74</f>
        <v>223.39999999999998</v>
      </c>
      <c r="E80" s="38"/>
      <c r="F80" s="38">
        <f>892.6+74</f>
        <v>966.6</v>
      </c>
      <c r="G80" s="81"/>
      <c r="H80" s="85"/>
      <c r="I80" s="38"/>
      <c r="J80" s="38"/>
      <c r="K80" s="38"/>
      <c r="L80" s="38">
        <f>548.98-142</f>
        <v>406.98</v>
      </c>
      <c r="M80" s="38">
        <f t="shared" si="9"/>
        <v>406.98</v>
      </c>
      <c r="N80" s="38">
        <f t="shared" si="12"/>
        <v>0</v>
      </c>
      <c r="O80" s="38">
        <f t="shared" si="10"/>
        <v>0</v>
      </c>
      <c r="P80" s="38">
        <f>1700.02+142</f>
        <v>1842.02</v>
      </c>
      <c r="Q80" s="39">
        <v>2249</v>
      </c>
    </row>
    <row r="81" spans="1:17">
      <c r="A81" s="13">
        <v>74</v>
      </c>
      <c r="B81" s="36" t="s">
        <v>93</v>
      </c>
      <c r="C81" s="37">
        <f t="shared" si="11"/>
        <v>441</v>
      </c>
      <c r="D81" s="38">
        <v>255</v>
      </c>
      <c r="E81" s="38"/>
      <c r="F81" s="38">
        <v>186</v>
      </c>
      <c r="G81" s="81"/>
      <c r="H81" s="85"/>
      <c r="I81" s="38"/>
      <c r="J81" s="38"/>
      <c r="K81" s="38"/>
      <c r="L81" s="38">
        <v>641.09</v>
      </c>
      <c r="M81" s="38">
        <f t="shared" si="9"/>
        <v>641.08999999999992</v>
      </c>
      <c r="N81" s="38">
        <f t="shared" si="12"/>
        <v>0</v>
      </c>
      <c r="O81" s="38">
        <f t="shared" si="10"/>
        <v>0</v>
      </c>
      <c r="P81" s="38">
        <v>471.91</v>
      </c>
      <c r="Q81" s="39">
        <v>1113</v>
      </c>
    </row>
    <row r="82" spans="1:17">
      <c r="A82" s="13">
        <v>75</v>
      </c>
      <c r="B82" s="36" t="s">
        <v>94</v>
      </c>
      <c r="C82" s="37">
        <f t="shared" si="11"/>
        <v>356.29999999999995</v>
      </c>
      <c r="D82" s="38">
        <f>318.58-1.87</f>
        <v>316.70999999999998</v>
      </c>
      <c r="E82" s="38"/>
      <c r="F82" s="38">
        <v>39.590000000000003</v>
      </c>
      <c r="G82" s="81"/>
      <c r="H82" s="85"/>
      <c r="I82" s="38"/>
      <c r="J82" s="38"/>
      <c r="K82" s="38"/>
      <c r="L82" s="38">
        <v>1784.4</v>
      </c>
      <c r="M82" s="38">
        <f t="shared" si="9"/>
        <v>1784.4</v>
      </c>
      <c r="N82" s="38">
        <f t="shared" si="12"/>
        <v>0</v>
      </c>
      <c r="O82" s="38">
        <f t="shared" si="10"/>
        <v>0</v>
      </c>
      <c r="P82" s="38">
        <v>215.6</v>
      </c>
      <c r="Q82" s="39">
        <v>2000</v>
      </c>
    </row>
    <row r="83" spans="1:17">
      <c r="A83" s="13">
        <v>76</v>
      </c>
      <c r="B83" s="36" t="s">
        <v>95</v>
      </c>
      <c r="C83" s="37">
        <f t="shared" si="11"/>
        <v>736.24999999999989</v>
      </c>
      <c r="D83" s="38">
        <f>706.31-0.33+0.02-0.04-0.01</f>
        <v>705.94999999999993</v>
      </c>
      <c r="E83" s="38"/>
      <c r="F83" s="38">
        <v>30.3</v>
      </c>
      <c r="G83" s="81"/>
      <c r="H83" s="85"/>
      <c r="I83" s="38"/>
      <c r="J83" s="38"/>
      <c r="K83" s="38"/>
      <c r="L83" s="38">
        <v>1925.47</v>
      </c>
      <c r="M83" s="38">
        <f t="shared" si="9"/>
        <v>1925.47</v>
      </c>
      <c r="N83" s="38">
        <f t="shared" si="12"/>
        <v>0</v>
      </c>
      <c r="O83" s="38">
        <f t="shared" si="10"/>
        <v>0</v>
      </c>
      <c r="P83" s="38">
        <v>82.53</v>
      </c>
      <c r="Q83" s="39">
        <v>2008</v>
      </c>
    </row>
    <row r="84" spans="1:17">
      <c r="A84" s="13">
        <v>77</v>
      </c>
      <c r="B84" s="36" t="s">
        <v>96</v>
      </c>
      <c r="C84" s="37">
        <f t="shared" si="11"/>
        <v>1445.1100000000001</v>
      </c>
      <c r="D84" s="38">
        <f>1297.11-39.1-39.1+1.5+1.8-1.7-2.1</f>
        <v>1218.4100000000001</v>
      </c>
      <c r="E84" s="38"/>
      <c r="F84" s="38">
        <f>148.5+39.1+39.1</f>
        <v>226.7</v>
      </c>
      <c r="G84" s="81"/>
      <c r="H84" s="85"/>
      <c r="I84" s="38"/>
      <c r="J84" s="38"/>
      <c r="K84" s="38"/>
      <c r="L84" s="38">
        <v>2250.06</v>
      </c>
      <c r="M84" s="38">
        <f t="shared" si="9"/>
        <v>2250.06</v>
      </c>
      <c r="N84" s="38">
        <f t="shared" si="12"/>
        <v>0</v>
      </c>
      <c r="O84" s="38">
        <f t="shared" si="10"/>
        <v>0</v>
      </c>
      <c r="P84" s="38">
        <v>497.94</v>
      </c>
      <c r="Q84" s="39">
        <v>2748</v>
      </c>
    </row>
    <row r="85" spans="1:17">
      <c r="A85" s="13">
        <v>78</v>
      </c>
      <c r="B85" s="36" t="s">
        <v>97</v>
      </c>
      <c r="C85" s="37">
        <f t="shared" si="11"/>
        <v>1440.98</v>
      </c>
      <c r="D85" s="38">
        <f>1286.43+9.94+3-3-4.79-3.2-50.5+2-50.5-50.5-1.2</f>
        <v>1137.68</v>
      </c>
      <c r="E85" s="38"/>
      <c r="F85" s="38">
        <f>150.3+50.5+51+51.5</f>
        <v>303.3</v>
      </c>
      <c r="G85" s="81"/>
      <c r="H85" s="85"/>
      <c r="I85" s="38"/>
      <c r="J85" s="38"/>
      <c r="K85" s="38"/>
      <c r="L85" s="38">
        <f>2042.21-78-80-79</f>
        <v>1805.21</v>
      </c>
      <c r="M85" s="38">
        <f t="shared" si="9"/>
        <v>1805.21</v>
      </c>
      <c r="N85" s="38">
        <f t="shared" si="12"/>
        <v>0</v>
      </c>
      <c r="O85" s="38">
        <f t="shared" si="10"/>
        <v>0</v>
      </c>
      <c r="P85" s="38">
        <f>236.79+78+80+79</f>
        <v>473.78999999999996</v>
      </c>
      <c r="Q85" s="39">
        <v>2279</v>
      </c>
    </row>
    <row r="86" spans="1:17">
      <c r="A86" s="13">
        <v>79</v>
      </c>
      <c r="B86" s="36" t="s">
        <v>98</v>
      </c>
      <c r="C86" s="37">
        <f t="shared" si="11"/>
        <v>1611.3500000000004</v>
      </c>
      <c r="D86" s="38">
        <f>1239.2-39.94-46.98-27.87-27.77-44.26+0.46-27.27+0.8-0.02+0.73+0.13-47.76+0.24-0.1-1.68-27.56</f>
        <v>950.35000000000036</v>
      </c>
      <c r="E86" s="38"/>
      <c r="F86" s="38">
        <f>366.4+38.3+47.4+28.4+28.7+48+27.3+48+28.5</f>
        <v>660.99999999999989</v>
      </c>
      <c r="G86" s="81"/>
      <c r="H86" s="85"/>
      <c r="I86" s="38"/>
      <c r="J86" s="38"/>
      <c r="K86" s="38"/>
      <c r="L86" s="38">
        <f>1594.48-43-55-34-34-55-35-56-35</f>
        <v>1247.48</v>
      </c>
      <c r="M86" s="38">
        <f t="shared" si="9"/>
        <v>1247.48</v>
      </c>
      <c r="N86" s="38">
        <f t="shared" si="12"/>
        <v>0</v>
      </c>
      <c r="O86" s="38">
        <f t="shared" si="10"/>
        <v>0</v>
      </c>
      <c r="P86" s="38">
        <f>438.52+43+55+34+34+55+35+56+35</f>
        <v>785.52</v>
      </c>
      <c r="Q86" s="39">
        <v>2033</v>
      </c>
    </row>
    <row r="87" spans="1:17">
      <c r="A87" s="13">
        <v>80</v>
      </c>
      <c r="B87" s="36" t="s">
        <v>99</v>
      </c>
      <c r="C87" s="37">
        <f t="shared" si="11"/>
        <v>447.4</v>
      </c>
      <c r="D87" s="38">
        <f>283.61-1+0.2-18.2</f>
        <v>264.61</v>
      </c>
      <c r="E87" s="38"/>
      <c r="F87" s="38">
        <f>66.19</f>
        <v>66.19</v>
      </c>
      <c r="G87" s="81">
        <f>252.73+8.67-144.8</f>
        <v>116.59999999999997</v>
      </c>
      <c r="H87" s="85"/>
      <c r="I87" s="38"/>
      <c r="J87" s="38"/>
      <c r="K87" s="38"/>
      <c r="L87" s="38">
        <v>427.58</v>
      </c>
      <c r="M87" s="38">
        <f t="shared" si="9"/>
        <v>427.58</v>
      </c>
      <c r="N87" s="38">
        <f t="shared" si="12"/>
        <v>0</v>
      </c>
      <c r="O87" s="38">
        <f t="shared" si="10"/>
        <v>0</v>
      </c>
      <c r="P87" s="38">
        <v>49.42</v>
      </c>
      <c r="Q87" s="39">
        <v>477</v>
      </c>
    </row>
    <row r="88" spans="1:17">
      <c r="A88" s="13">
        <v>81</v>
      </c>
      <c r="B88" s="36" t="s">
        <v>100</v>
      </c>
      <c r="C88" s="37">
        <f t="shared" si="11"/>
        <v>139.9</v>
      </c>
      <c r="D88" s="38">
        <f>78.8+25.75-1.2-0.52</f>
        <v>102.83</v>
      </c>
      <c r="E88" s="38"/>
      <c r="F88" s="38">
        <v>37.07</v>
      </c>
      <c r="G88" s="81"/>
      <c r="H88" s="85"/>
      <c r="I88" s="38"/>
      <c r="J88" s="38"/>
      <c r="K88" s="38"/>
      <c r="L88" s="38">
        <f>90.41-7.7</f>
        <v>82.71</v>
      </c>
      <c r="M88" s="38">
        <f t="shared" si="9"/>
        <v>82.710000000000008</v>
      </c>
      <c r="N88" s="38">
        <f t="shared" si="12"/>
        <v>0</v>
      </c>
      <c r="O88" s="38">
        <f t="shared" si="10"/>
        <v>0</v>
      </c>
      <c r="P88" s="38">
        <v>40.29</v>
      </c>
      <c r="Q88" s="39">
        <v>123</v>
      </c>
    </row>
    <row r="89" spans="1:17">
      <c r="A89" s="13">
        <v>82</v>
      </c>
      <c r="B89" s="36" t="s">
        <v>101</v>
      </c>
      <c r="C89" s="37">
        <f t="shared" si="11"/>
        <v>3801.08</v>
      </c>
      <c r="D89" s="38">
        <f>2994-60.3-48.4+0.11-0.15-60.7-0.03-48.4-48.4-60.7-60.7-35.84-60.3-48.35-48.4-48.4-48.35-60.3-48.35-60.3-48.35</f>
        <v>2099.3899999999994</v>
      </c>
      <c r="E89" s="38"/>
      <c r="F89" s="38">
        <f>805.61+60.7+48.4+60.7+48.4+48.4+60.7+60.7+35.73+60.7+48.4+48.4+48.4+48.35+60.7+48.35+60.7+48.35</f>
        <v>1701.6900000000003</v>
      </c>
      <c r="G89" s="81"/>
      <c r="H89" s="85"/>
      <c r="I89" s="38"/>
      <c r="J89" s="38"/>
      <c r="K89" s="38"/>
      <c r="L89" s="38">
        <f>3426.56-72-57-72-57-72-42-72-58-57-57-57-72-57-72-57</f>
        <v>2495.56</v>
      </c>
      <c r="M89" s="38">
        <f t="shared" si="9"/>
        <v>2495.56</v>
      </c>
      <c r="N89" s="38">
        <f t="shared" si="12"/>
        <v>0</v>
      </c>
      <c r="O89" s="38">
        <f t="shared" si="10"/>
        <v>0</v>
      </c>
      <c r="P89" s="38">
        <f>1084.44+72+57+57+72+72+42+72+58+57+57+57+72+57+72+57</f>
        <v>2015.44</v>
      </c>
      <c r="Q89" s="39">
        <v>4511</v>
      </c>
    </row>
    <row r="90" spans="1:17">
      <c r="A90" s="13">
        <v>83</v>
      </c>
      <c r="B90" s="36" t="s">
        <v>102</v>
      </c>
      <c r="C90" s="37">
        <f t="shared" si="11"/>
        <v>682.1</v>
      </c>
      <c r="D90" s="38">
        <f>567.1-43.72-31.54-61.75-42.08-0.07-43.25</f>
        <v>344.69</v>
      </c>
      <c r="E90" s="38"/>
      <c r="F90" s="38">
        <f>115.2+43.72+31.54+61.7+42+43.25</f>
        <v>337.41</v>
      </c>
      <c r="G90" s="81"/>
      <c r="H90" s="85"/>
      <c r="I90" s="38"/>
      <c r="J90" s="38"/>
      <c r="K90" s="38"/>
      <c r="L90" s="38">
        <f>412.77-42</f>
        <v>370.77</v>
      </c>
      <c r="M90" s="38">
        <f t="shared" si="9"/>
        <v>370.77</v>
      </c>
      <c r="N90" s="38">
        <f t="shared" si="12"/>
        <v>0</v>
      </c>
      <c r="O90" s="38">
        <f t="shared" si="10"/>
        <v>0</v>
      </c>
      <c r="P90" s="38">
        <f>252.23+42</f>
        <v>294.23</v>
      </c>
      <c r="Q90" s="39">
        <v>665</v>
      </c>
    </row>
    <row r="91" spans="1:17">
      <c r="A91" s="13">
        <v>84</v>
      </c>
      <c r="B91" s="36" t="s">
        <v>103</v>
      </c>
      <c r="C91" s="37">
        <f t="shared" si="11"/>
        <v>1093.4699999999998</v>
      </c>
      <c r="D91" s="38">
        <f>1040.2-0.18-0.04-0.02-2.38-0.51-0.04-0.02-0.05-0.02-1.39</f>
        <v>1035.55</v>
      </c>
      <c r="E91" s="38"/>
      <c r="F91" s="38">
        <v>39.57</v>
      </c>
      <c r="G91" s="81">
        <v>0</v>
      </c>
      <c r="H91" s="85"/>
      <c r="I91" s="38"/>
      <c r="J91" s="38"/>
      <c r="K91" s="38">
        <v>18.350000000000001</v>
      </c>
      <c r="L91" s="38">
        <v>1191.06</v>
      </c>
      <c r="M91" s="38">
        <f t="shared" si="9"/>
        <v>1191.06</v>
      </c>
      <c r="N91" s="38">
        <f t="shared" si="12"/>
        <v>0</v>
      </c>
      <c r="O91" s="38">
        <v>0</v>
      </c>
      <c r="P91" s="38">
        <v>64.94</v>
      </c>
      <c r="Q91" s="39">
        <v>1256</v>
      </c>
    </row>
    <row r="92" spans="1:17">
      <c r="A92" s="13">
        <v>85</v>
      </c>
      <c r="B92" s="36" t="s">
        <v>104</v>
      </c>
      <c r="C92" s="37">
        <f t="shared" si="11"/>
        <v>774.23999999999978</v>
      </c>
      <c r="D92" s="38">
        <f>693.5-19.59+21.12-0.12-2.19-84.82+85.2+0.79+1.03+0.16</f>
        <v>695.07999999999981</v>
      </c>
      <c r="E92" s="38"/>
      <c r="F92" s="38">
        <v>44.52</v>
      </c>
      <c r="G92" s="81">
        <f>22.54+12.1</f>
        <v>34.64</v>
      </c>
      <c r="H92" s="85"/>
      <c r="I92" s="38"/>
      <c r="J92" s="38"/>
      <c r="K92" s="38"/>
      <c r="L92" s="38">
        <v>1156.04</v>
      </c>
      <c r="M92" s="38">
        <f t="shared" si="9"/>
        <v>1156.04</v>
      </c>
      <c r="N92" s="38">
        <f t="shared" si="12"/>
        <v>72.710000000000036</v>
      </c>
      <c r="O92" s="38">
        <f>K92*Q92/C92</f>
        <v>0</v>
      </c>
      <c r="P92" s="38">
        <v>59.25</v>
      </c>
      <c r="Q92" s="39">
        <v>1288</v>
      </c>
    </row>
    <row r="93" spans="1:17">
      <c r="A93" s="13">
        <v>86</v>
      </c>
      <c r="B93" s="36" t="s">
        <v>105</v>
      </c>
      <c r="C93" s="37">
        <f t="shared" si="11"/>
        <v>553.13</v>
      </c>
      <c r="D93" s="38">
        <f>505.01-45.89+0.51</f>
        <v>459.63</v>
      </c>
      <c r="E93" s="38"/>
      <c r="F93" s="38">
        <f>46.8+46.7</f>
        <v>93.5</v>
      </c>
      <c r="G93" s="81"/>
      <c r="H93" s="85"/>
      <c r="I93" s="38"/>
      <c r="J93" s="38"/>
      <c r="K93" s="38"/>
      <c r="L93" s="38">
        <v>904.81</v>
      </c>
      <c r="M93" s="38">
        <f t="shared" si="9"/>
        <v>904.81</v>
      </c>
      <c r="N93" s="38">
        <f t="shared" si="12"/>
        <v>0</v>
      </c>
      <c r="O93" s="38">
        <f>K93*Q93/C93</f>
        <v>0</v>
      </c>
      <c r="P93" s="38">
        <v>192.19</v>
      </c>
      <c r="Q93" s="39">
        <v>1097</v>
      </c>
    </row>
    <row r="94" spans="1:17">
      <c r="A94" s="13">
        <v>87</v>
      </c>
      <c r="B94" s="36" t="s">
        <v>106</v>
      </c>
      <c r="C94" s="37">
        <f t="shared" si="11"/>
        <v>923.45999999999992</v>
      </c>
      <c r="D94" s="38">
        <f>311.96+5.34-5.34-0.02</f>
        <v>311.94</v>
      </c>
      <c r="E94" s="38"/>
      <c r="F94" s="38">
        <v>325.12</v>
      </c>
      <c r="G94" s="81">
        <v>286.39999999999998</v>
      </c>
      <c r="H94" s="85"/>
      <c r="I94" s="38"/>
      <c r="J94" s="38"/>
      <c r="K94" s="38"/>
      <c r="L94" s="38">
        <v>678.32</v>
      </c>
      <c r="M94" s="38">
        <f t="shared" si="9"/>
        <v>678.32</v>
      </c>
      <c r="N94" s="38">
        <f t="shared" si="12"/>
        <v>621.85999999999979</v>
      </c>
      <c r="O94" s="38">
        <f>K94*Q94/C94</f>
        <v>0</v>
      </c>
      <c r="P94" s="38">
        <v>707.82</v>
      </c>
      <c r="Q94" s="39">
        <v>2008</v>
      </c>
    </row>
    <row r="95" spans="1:17">
      <c r="A95" s="13">
        <v>88</v>
      </c>
      <c r="B95" s="36" t="s">
        <v>107</v>
      </c>
      <c r="C95" s="37">
        <f t="shared" si="11"/>
        <v>627.25</v>
      </c>
      <c r="D95" s="38">
        <f>227.09+6.94-1.15</f>
        <v>232.88</v>
      </c>
      <c r="E95" s="38"/>
      <c r="F95" s="38">
        <v>156.18</v>
      </c>
      <c r="G95" s="81"/>
      <c r="H95" s="85"/>
      <c r="I95" s="38"/>
      <c r="J95" s="38"/>
      <c r="K95" s="38">
        <f>162.39+75.8</f>
        <v>238.19</v>
      </c>
      <c r="L95" s="38">
        <v>137.79</v>
      </c>
      <c r="M95" s="38">
        <f t="shared" si="9"/>
        <v>137.79000000000002</v>
      </c>
      <c r="N95" s="38">
        <v>0</v>
      </c>
      <c r="O95" s="38">
        <v>0</v>
      </c>
      <c r="P95" s="38">
        <f>91.96+140.25</f>
        <v>232.20999999999998</v>
      </c>
      <c r="Q95" s="39">
        <v>370</v>
      </c>
    </row>
    <row r="96" spans="1:17">
      <c r="A96" s="13">
        <v>89</v>
      </c>
      <c r="B96" s="40" t="s">
        <v>108</v>
      </c>
      <c r="C96" s="37">
        <f t="shared" si="11"/>
        <v>698.45</v>
      </c>
      <c r="D96" s="38">
        <f>315.63-94.77-1.97</f>
        <v>218.89000000000001</v>
      </c>
      <c r="E96" s="38"/>
      <c r="F96" s="38">
        <f>184.6-1.7+94.77</f>
        <v>277.67</v>
      </c>
      <c r="G96" s="81"/>
      <c r="H96" s="85"/>
      <c r="I96" s="38"/>
      <c r="J96" s="38"/>
      <c r="K96" s="38">
        <v>201.89</v>
      </c>
      <c r="L96" s="38">
        <f>145.75-46</f>
        <v>99.75</v>
      </c>
      <c r="M96" s="38">
        <f t="shared" ref="M96:M127" si="13">Q96-P96-O96-N96</f>
        <v>99.75</v>
      </c>
      <c r="N96" s="38">
        <f t="shared" ref="N96:N136" si="14">Q96-P96-L96</f>
        <v>0</v>
      </c>
      <c r="O96" s="38"/>
      <c r="P96" s="38">
        <f>191.25+46</f>
        <v>237.25</v>
      </c>
      <c r="Q96" s="39">
        <v>337</v>
      </c>
    </row>
    <row r="97" spans="1:17">
      <c r="A97" s="13">
        <v>90</v>
      </c>
      <c r="B97" s="45" t="s">
        <v>109</v>
      </c>
      <c r="C97" s="37">
        <f t="shared" si="11"/>
        <v>421.52</v>
      </c>
      <c r="D97" s="38">
        <f>330.37-1.68-0.31</f>
        <v>328.38</v>
      </c>
      <c r="E97" s="38"/>
      <c r="F97" s="38">
        <v>93.14</v>
      </c>
      <c r="G97" s="81"/>
      <c r="H97" s="85"/>
      <c r="I97" s="38"/>
      <c r="J97" s="38"/>
      <c r="K97" s="38"/>
      <c r="L97" s="38">
        <v>1528.5</v>
      </c>
      <c r="M97" s="38">
        <f t="shared" si="13"/>
        <v>1528.5</v>
      </c>
      <c r="N97" s="38">
        <f t="shared" si="14"/>
        <v>0</v>
      </c>
      <c r="O97" s="39"/>
      <c r="P97" s="38">
        <v>499.5</v>
      </c>
      <c r="Q97" s="39">
        <v>2028</v>
      </c>
    </row>
    <row r="98" spans="1:17">
      <c r="A98" s="13">
        <v>91</v>
      </c>
      <c r="B98" s="36" t="s">
        <v>110</v>
      </c>
      <c r="C98" s="37">
        <f t="shared" si="11"/>
        <v>966.93</v>
      </c>
      <c r="D98" s="38">
        <f>659.08-43.59-48.96</f>
        <v>566.53</v>
      </c>
      <c r="E98" s="38"/>
      <c r="F98" s="38">
        <f>305.4+44.9+50.1</f>
        <v>400.4</v>
      </c>
      <c r="G98" s="81"/>
      <c r="H98" s="85"/>
      <c r="I98" s="38"/>
      <c r="J98" s="38"/>
      <c r="K98" s="38"/>
      <c r="L98" s="38">
        <f>1562.58-125</f>
        <v>1437.58</v>
      </c>
      <c r="M98" s="38">
        <f t="shared" si="13"/>
        <v>1437.58</v>
      </c>
      <c r="N98" s="38">
        <f t="shared" si="14"/>
        <v>0</v>
      </c>
      <c r="O98" s="39"/>
      <c r="P98" s="38">
        <f>877.42+125</f>
        <v>1002.42</v>
      </c>
      <c r="Q98" s="39">
        <v>2440</v>
      </c>
    </row>
    <row r="99" spans="1:17">
      <c r="A99" s="13">
        <v>92</v>
      </c>
      <c r="B99" s="36" t="s">
        <v>111</v>
      </c>
      <c r="C99" s="37">
        <f t="shared" si="11"/>
        <v>963.6</v>
      </c>
      <c r="D99" s="38">
        <f>573.23-47.44-47.67-44.7-44.69-47.46</f>
        <v>341.27</v>
      </c>
      <c r="E99" s="38"/>
      <c r="F99" s="38">
        <f>386.23+49.1+49.2+44.1+44.6+49.1</f>
        <v>622.33000000000004</v>
      </c>
      <c r="G99" s="81"/>
      <c r="H99" s="85"/>
      <c r="I99" s="38"/>
      <c r="J99" s="38"/>
      <c r="K99" s="38"/>
      <c r="L99" s="38">
        <f>1379.53-110-113-123</f>
        <v>1033.53</v>
      </c>
      <c r="M99" s="38">
        <f t="shared" si="13"/>
        <v>1033.53</v>
      </c>
      <c r="N99" s="38">
        <f t="shared" si="14"/>
        <v>0</v>
      </c>
      <c r="O99" s="39"/>
      <c r="P99" s="38">
        <f>1148.47+110+113+123</f>
        <v>1494.47</v>
      </c>
      <c r="Q99" s="39">
        <v>2528</v>
      </c>
    </row>
    <row r="100" spans="1:17">
      <c r="A100" s="13">
        <v>93</v>
      </c>
      <c r="B100" s="36" t="s">
        <v>112</v>
      </c>
      <c r="C100" s="37">
        <f t="shared" ref="C100:C131" si="15">D100+E100+F100+G100+H100+I100+J100+K100</f>
        <v>1046.3699999999999</v>
      </c>
      <c r="D100" s="38">
        <f>700.99+4.74-0.73-9.82+7.6-1.89+1.85-0.04-0.59-0.68+0.05+1.74+6.89-29.94-48.96+78.9+0.54</f>
        <v>710.64999999999986</v>
      </c>
      <c r="E100" s="38"/>
      <c r="F100" s="38">
        <f>335.72</f>
        <v>335.72</v>
      </c>
      <c r="G100" s="81"/>
      <c r="H100" s="85"/>
      <c r="I100" s="38"/>
      <c r="J100" s="38"/>
      <c r="K100" s="38"/>
      <c r="L100" s="38">
        <v>347.82</v>
      </c>
      <c r="M100" s="38">
        <f t="shared" si="13"/>
        <v>347.82</v>
      </c>
      <c r="N100" s="38">
        <f t="shared" si="14"/>
        <v>0</v>
      </c>
      <c r="O100" s="39"/>
      <c r="P100" s="38">
        <v>190.18</v>
      </c>
      <c r="Q100" s="39">
        <v>538</v>
      </c>
    </row>
    <row r="101" spans="1:17">
      <c r="A101" s="13">
        <v>94</v>
      </c>
      <c r="B101" s="36" t="s">
        <v>113</v>
      </c>
      <c r="C101" s="37">
        <f t="shared" si="15"/>
        <v>450.36</v>
      </c>
      <c r="D101" s="38">
        <f>379.1-0.74-0.85-50.91-55.04-36.8</f>
        <v>234.76</v>
      </c>
      <c r="E101" s="38"/>
      <c r="F101" s="38">
        <f>70.7+52+56.1+36.8</f>
        <v>215.60000000000002</v>
      </c>
      <c r="G101" s="81"/>
      <c r="H101" s="85"/>
      <c r="I101" s="38"/>
      <c r="J101" s="38"/>
      <c r="K101" s="38"/>
      <c r="L101" s="38">
        <f>675.34-90</f>
        <v>585.34</v>
      </c>
      <c r="M101" s="38">
        <f t="shared" si="13"/>
        <v>585.33999999999992</v>
      </c>
      <c r="N101" s="38">
        <f t="shared" si="14"/>
        <v>0</v>
      </c>
      <c r="O101" s="39"/>
      <c r="P101" s="38">
        <f>464.66+90</f>
        <v>554.66000000000008</v>
      </c>
      <c r="Q101" s="39">
        <v>1140</v>
      </c>
    </row>
    <row r="102" spans="1:17">
      <c r="A102" s="13">
        <v>95</v>
      </c>
      <c r="B102" s="36" t="s">
        <v>114</v>
      </c>
      <c r="C102" s="37">
        <f t="shared" si="15"/>
        <v>498.07000000000005</v>
      </c>
      <c r="D102" s="38">
        <f>496.03-103.13-94.68+0.75-1.81-0.65-0.47-0.26-1.81-101.72-60.05</f>
        <v>132.19999999999999</v>
      </c>
      <c r="E102" s="38"/>
      <c r="F102" s="38">
        <f>101.9+102.2+101.72+60.05</f>
        <v>365.87000000000006</v>
      </c>
      <c r="G102" s="81"/>
      <c r="H102" s="85"/>
      <c r="I102" s="38"/>
      <c r="J102" s="38"/>
      <c r="K102" s="38"/>
      <c r="L102" s="38">
        <f>567.89-134-135.34-77.16</f>
        <v>221.38999999999996</v>
      </c>
      <c r="M102" s="38">
        <f t="shared" si="13"/>
        <v>221.39</v>
      </c>
      <c r="N102" s="38">
        <f t="shared" si="14"/>
        <v>0</v>
      </c>
      <c r="O102" s="38">
        <f>K102*Q102/C102</f>
        <v>0</v>
      </c>
      <c r="P102" s="38">
        <f>140.11+134+135.34+77.16</f>
        <v>486.61</v>
      </c>
      <c r="Q102" s="39">
        <v>708</v>
      </c>
    </row>
    <row r="103" spans="1:17">
      <c r="A103" s="13">
        <v>96</v>
      </c>
      <c r="B103" s="45" t="s">
        <v>115</v>
      </c>
      <c r="C103" s="37">
        <f t="shared" si="15"/>
        <v>1312.6100000000001</v>
      </c>
      <c r="D103" s="38">
        <f>1214.94+0.16-1.86-0.44+0.21+1.3+2.59-0.49-0.5+2.57-0.1-4.96-0.21-1.09-3.9-1.54</f>
        <v>1206.68</v>
      </c>
      <c r="E103" s="38"/>
      <c r="F103" s="38">
        <v>105.93</v>
      </c>
      <c r="G103" s="81"/>
      <c r="H103" s="85"/>
      <c r="I103" s="38"/>
      <c r="J103" s="38"/>
      <c r="K103" s="38"/>
      <c r="L103" s="38">
        <v>562.49</v>
      </c>
      <c r="M103" s="38">
        <f t="shared" si="13"/>
        <v>562.49</v>
      </c>
      <c r="N103" s="38">
        <f t="shared" si="14"/>
        <v>0</v>
      </c>
      <c r="O103" s="39"/>
      <c r="P103" s="38">
        <v>49.51</v>
      </c>
      <c r="Q103" s="39">
        <v>612</v>
      </c>
    </row>
    <row r="104" spans="1:17">
      <c r="A104" s="13">
        <v>97</v>
      </c>
      <c r="B104" s="45" t="s">
        <v>116</v>
      </c>
      <c r="C104" s="37">
        <f t="shared" si="15"/>
        <v>669.35000000000014</v>
      </c>
      <c r="D104" s="38">
        <f>502.41-54.43-5.74-0.3-0.06-6.27-3.31-1.59-5.61</f>
        <v>425.1</v>
      </c>
      <c r="E104" s="38"/>
      <c r="F104" s="38">
        <v>113.7</v>
      </c>
      <c r="G104" s="81">
        <v>0</v>
      </c>
      <c r="H104" s="85"/>
      <c r="I104" s="38"/>
      <c r="J104" s="38"/>
      <c r="K104" s="38">
        <f>62.95+67.6</f>
        <v>130.55000000000001</v>
      </c>
      <c r="L104" s="38">
        <f>422.97+139.93-38</f>
        <v>524.90000000000009</v>
      </c>
      <c r="M104" s="38">
        <f t="shared" si="13"/>
        <v>524.9</v>
      </c>
      <c r="N104" s="38">
        <f t="shared" si="14"/>
        <v>0</v>
      </c>
      <c r="O104" s="39">
        <v>0</v>
      </c>
      <c r="P104" s="38">
        <f>103.1+38</f>
        <v>141.1</v>
      </c>
      <c r="Q104" s="39">
        <v>666</v>
      </c>
    </row>
    <row r="105" spans="1:17">
      <c r="A105" s="13">
        <v>98</v>
      </c>
      <c r="B105" s="45" t="s">
        <v>117</v>
      </c>
      <c r="C105" s="37">
        <f t="shared" si="15"/>
        <v>458.62</v>
      </c>
      <c r="D105" s="38">
        <f>296.77-49.22</f>
        <v>247.54999999999998</v>
      </c>
      <c r="E105" s="38"/>
      <c r="F105" s="38">
        <f>163.31+47.76</f>
        <v>211.07</v>
      </c>
      <c r="G105" s="81"/>
      <c r="H105" s="85"/>
      <c r="I105" s="38"/>
      <c r="J105" s="38"/>
      <c r="K105" s="38"/>
      <c r="L105" s="38">
        <v>922.28</v>
      </c>
      <c r="M105" s="38">
        <f t="shared" si="13"/>
        <v>922.28</v>
      </c>
      <c r="N105" s="38">
        <f t="shared" si="14"/>
        <v>0</v>
      </c>
      <c r="O105" s="39"/>
      <c r="P105" s="38">
        <v>790.72</v>
      </c>
      <c r="Q105" s="39">
        <v>1713</v>
      </c>
    </row>
    <row r="106" spans="1:17">
      <c r="A106" s="13">
        <v>99</v>
      </c>
      <c r="B106" s="36" t="s">
        <v>118</v>
      </c>
      <c r="C106" s="37">
        <f t="shared" si="15"/>
        <v>438.31</v>
      </c>
      <c r="D106" s="38">
        <f>220.55-4.03-41.86+4.47+0.38-22.5</f>
        <v>157.01000000000002</v>
      </c>
      <c r="E106" s="38"/>
      <c r="F106" s="38">
        <f>117.2+41.3+22.6</f>
        <v>181.1</v>
      </c>
      <c r="G106" s="81">
        <v>100.2</v>
      </c>
      <c r="H106" s="85"/>
      <c r="I106" s="38"/>
      <c r="J106" s="38"/>
      <c r="K106" s="38"/>
      <c r="L106" s="38">
        <f>372.41-90.65</f>
        <v>281.76</v>
      </c>
      <c r="M106" s="38">
        <f t="shared" si="13"/>
        <v>281.76</v>
      </c>
      <c r="N106" s="38">
        <f t="shared" si="14"/>
        <v>222.64999999999998</v>
      </c>
      <c r="O106" s="39"/>
      <c r="P106" s="38">
        <f>328.94+90.65</f>
        <v>419.59000000000003</v>
      </c>
      <c r="Q106" s="39">
        <v>924</v>
      </c>
    </row>
    <row r="107" spans="1:17">
      <c r="A107" s="13">
        <v>100</v>
      </c>
      <c r="B107" s="40" t="s">
        <v>119</v>
      </c>
      <c r="C107" s="37">
        <f t="shared" si="15"/>
        <v>2428.2199999999998</v>
      </c>
      <c r="D107" s="38">
        <f>1153.46-36.03-60.69-60.83-36.03-48.58-121.52-60.83-60.8-60.69</f>
        <v>607.46</v>
      </c>
      <c r="E107" s="38"/>
      <c r="F107" s="38">
        <f>1274.73+36.03+60.69+60.83+36.03+48.58+121.52+60.83+60.83+60.69</f>
        <v>1820.7599999999998</v>
      </c>
      <c r="G107" s="81"/>
      <c r="H107" s="85"/>
      <c r="I107" s="38"/>
      <c r="J107" s="38"/>
      <c r="K107" s="38"/>
      <c r="L107" s="38">
        <f>730.69-42-25-34-84-42-42-42</f>
        <v>419.69000000000005</v>
      </c>
      <c r="M107" s="38">
        <f t="shared" si="13"/>
        <v>419.69000000000005</v>
      </c>
      <c r="N107" s="38">
        <f t="shared" si="14"/>
        <v>0</v>
      </c>
      <c r="O107" s="39"/>
      <c r="P107" s="38">
        <f>953.31+42+25+34+84+42+42+42</f>
        <v>1264.31</v>
      </c>
      <c r="Q107" s="39">
        <v>1684</v>
      </c>
    </row>
    <row r="108" spans="1:17">
      <c r="A108" s="13">
        <v>101</v>
      </c>
      <c r="B108" s="36" t="s">
        <v>120</v>
      </c>
      <c r="C108" s="37">
        <f t="shared" si="15"/>
        <v>257.19</v>
      </c>
      <c r="D108" s="38">
        <f>219.74-59.06-0.05</f>
        <v>160.63</v>
      </c>
      <c r="E108" s="38"/>
      <c r="F108" s="38">
        <f>59.06</f>
        <v>59.06</v>
      </c>
      <c r="G108" s="81"/>
      <c r="H108" s="85"/>
      <c r="I108" s="38"/>
      <c r="J108" s="38"/>
      <c r="K108" s="38">
        <v>37.5</v>
      </c>
      <c r="L108" s="38">
        <f>312.4-83</f>
        <v>229.39999999999998</v>
      </c>
      <c r="M108" s="38">
        <f t="shared" si="13"/>
        <v>229.4</v>
      </c>
      <c r="N108" s="38">
        <f t="shared" si="14"/>
        <v>0</v>
      </c>
      <c r="O108" s="39"/>
      <c r="P108" s="38">
        <f>52.6+83</f>
        <v>135.6</v>
      </c>
      <c r="Q108" s="39">
        <v>365</v>
      </c>
    </row>
    <row r="109" spans="1:17">
      <c r="A109" s="13">
        <v>102</v>
      </c>
      <c r="B109" s="36" t="s">
        <v>121</v>
      </c>
      <c r="C109" s="37">
        <f t="shared" si="15"/>
        <v>883.00000000000023</v>
      </c>
      <c r="D109" s="38">
        <f>855.6-46.8-62.3-5.8-53.4-29.1</f>
        <v>658.20000000000016</v>
      </c>
      <c r="E109" s="38"/>
      <c r="F109" s="38">
        <f>33.2+46.8+62.3+53.4+29.1</f>
        <v>224.8</v>
      </c>
      <c r="G109" s="81"/>
      <c r="H109" s="85"/>
      <c r="I109" s="38"/>
      <c r="J109" s="38"/>
      <c r="K109" s="38"/>
      <c r="L109" s="38">
        <f>2880.63-204-113</f>
        <v>2563.63</v>
      </c>
      <c r="M109" s="38">
        <f t="shared" si="13"/>
        <v>2563.63</v>
      </c>
      <c r="N109" s="38">
        <f t="shared" si="14"/>
        <v>0</v>
      </c>
      <c r="O109" s="39"/>
      <c r="P109" s="38">
        <f>524.37+204+113</f>
        <v>841.37</v>
      </c>
      <c r="Q109" s="39">
        <v>3405</v>
      </c>
    </row>
    <row r="110" spans="1:17">
      <c r="A110" s="13">
        <v>103</v>
      </c>
      <c r="B110" s="36" t="s">
        <v>122</v>
      </c>
      <c r="C110" s="37">
        <f t="shared" si="15"/>
        <v>189.36</v>
      </c>
      <c r="D110" s="38">
        <v>132.56</v>
      </c>
      <c r="E110" s="38"/>
      <c r="F110" s="38"/>
      <c r="G110" s="81"/>
      <c r="H110" s="85"/>
      <c r="I110" s="38"/>
      <c r="J110" s="38"/>
      <c r="K110" s="38">
        <v>56.8</v>
      </c>
      <c r="L110" s="38">
        <v>128.30000000000001</v>
      </c>
      <c r="M110" s="38">
        <f t="shared" si="13"/>
        <v>128.30000000000001</v>
      </c>
      <c r="N110" s="38">
        <f t="shared" si="14"/>
        <v>0</v>
      </c>
      <c r="O110" s="39"/>
      <c r="P110" s="38">
        <v>57.7</v>
      </c>
      <c r="Q110" s="39">
        <v>186</v>
      </c>
    </row>
    <row r="111" spans="1:17">
      <c r="A111" s="13">
        <v>104</v>
      </c>
      <c r="B111" s="36" t="s">
        <v>123</v>
      </c>
      <c r="C111" s="37">
        <f t="shared" si="15"/>
        <v>749.66999999999985</v>
      </c>
      <c r="D111" s="38">
        <f>564.11-40.7+0.03-1.77+0.05-1.95</f>
        <v>519.76999999999987</v>
      </c>
      <c r="E111" s="38"/>
      <c r="F111" s="38">
        <f>62.2+40.7</f>
        <v>102.9</v>
      </c>
      <c r="G111" s="81">
        <f>109.64+0.06</f>
        <v>109.7</v>
      </c>
      <c r="H111" s="85"/>
      <c r="I111" s="38"/>
      <c r="J111" s="38"/>
      <c r="K111" s="38">
        <v>17.3</v>
      </c>
      <c r="L111" s="38">
        <v>519.72</v>
      </c>
      <c r="M111" s="38">
        <f t="shared" si="13"/>
        <v>519.72</v>
      </c>
      <c r="N111" s="38">
        <f t="shared" si="14"/>
        <v>130.51999999999998</v>
      </c>
      <c r="O111" s="39"/>
      <c r="P111" s="38">
        <v>97.76</v>
      </c>
      <c r="Q111" s="39">
        <v>748</v>
      </c>
    </row>
    <row r="112" spans="1:17">
      <c r="A112" s="13">
        <v>105</v>
      </c>
      <c r="B112" s="36" t="s">
        <v>124</v>
      </c>
      <c r="C112" s="37">
        <f t="shared" si="15"/>
        <v>208.01999999999998</v>
      </c>
      <c r="D112" s="38">
        <v>83.81</v>
      </c>
      <c r="E112" s="38"/>
      <c r="F112" s="38">
        <v>51.47</v>
      </c>
      <c r="G112" s="81">
        <v>72.739999999999995</v>
      </c>
      <c r="H112" s="85"/>
      <c r="I112" s="38"/>
      <c r="J112" s="38"/>
      <c r="K112" s="38"/>
      <c r="L112" s="38">
        <v>81.790000000000006</v>
      </c>
      <c r="M112" s="38">
        <f t="shared" si="13"/>
        <v>81.790000000000006</v>
      </c>
      <c r="N112" s="38">
        <f t="shared" si="14"/>
        <v>54.649999999999991</v>
      </c>
      <c r="O112" s="39"/>
      <c r="P112" s="38">
        <v>66.56</v>
      </c>
      <c r="Q112" s="39">
        <v>203</v>
      </c>
    </row>
    <row r="113" spans="1:17">
      <c r="A113" s="13">
        <v>106</v>
      </c>
      <c r="B113" s="36" t="s">
        <v>125</v>
      </c>
      <c r="C113" s="37">
        <f t="shared" si="15"/>
        <v>753.59</v>
      </c>
      <c r="D113" s="38">
        <f>650.97+1.46+1.15-3.2+3.2-0.99</f>
        <v>652.59</v>
      </c>
      <c r="E113" s="38"/>
      <c r="F113" s="38">
        <f>100.81+0.19</f>
        <v>101</v>
      </c>
      <c r="G113" s="81"/>
      <c r="H113" s="85"/>
      <c r="I113" s="38"/>
      <c r="J113" s="38"/>
      <c r="K113" s="38"/>
      <c r="L113" s="38">
        <v>1539.21</v>
      </c>
      <c r="M113" s="38">
        <f t="shared" si="13"/>
        <v>1539.21</v>
      </c>
      <c r="N113" s="38">
        <f t="shared" si="14"/>
        <v>0</v>
      </c>
      <c r="O113" s="39"/>
      <c r="P113" s="38">
        <v>238.79</v>
      </c>
      <c r="Q113" s="39">
        <v>1778</v>
      </c>
    </row>
    <row r="114" spans="1:17">
      <c r="A114" s="13">
        <v>107</v>
      </c>
      <c r="B114" s="36" t="s">
        <v>126</v>
      </c>
      <c r="C114" s="37">
        <f t="shared" si="15"/>
        <v>807.8599999999999</v>
      </c>
      <c r="D114" s="38">
        <f>683.82+61.79+1.65+3.2+4.78+1.81-3.12</f>
        <v>753.93</v>
      </c>
      <c r="E114" s="38"/>
      <c r="F114" s="38">
        <v>53.93</v>
      </c>
      <c r="G114" s="81"/>
      <c r="H114" s="85"/>
      <c r="I114" s="38"/>
      <c r="J114" s="38"/>
      <c r="K114" s="38"/>
      <c r="L114" s="38">
        <f>617.44-4.56</f>
        <v>612.88000000000011</v>
      </c>
      <c r="M114" s="38">
        <f t="shared" si="13"/>
        <v>612.88</v>
      </c>
      <c r="N114" s="38">
        <f t="shared" si="14"/>
        <v>0</v>
      </c>
      <c r="O114" s="39"/>
      <c r="P114" s="38">
        <v>49.12</v>
      </c>
      <c r="Q114" s="39">
        <v>662</v>
      </c>
    </row>
    <row r="115" spans="1:17">
      <c r="A115" s="13">
        <v>108</v>
      </c>
      <c r="B115" s="36" t="s">
        <v>127</v>
      </c>
      <c r="C115" s="37">
        <f t="shared" si="15"/>
        <v>302.42</v>
      </c>
      <c r="D115" s="38">
        <f>243.99-1.37</f>
        <v>242.62</v>
      </c>
      <c r="E115" s="38"/>
      <c r="F115" s="38">
        <v>59.8</v>
      </c>
      <c r="G115" s="81"/>
      <c r="H115" s="85"/>
      <c r="I115" s="38"/>
      <c r="J115" s="38"/>
      <c r="K115" s="38"/>
      <c r="L115" s="38">
        <v>212.06</v>
      </c>
      <c r="M115" s="38">
        <f t="shared" si="13"/>
        <v>212.06</v>
      </c>
      <c r="N115" s="38">
        <f t="shared" si="14"/>
        <v>0</v>
      </c>
      <c r="O115" s="39"/>
      <c r="P115" s="38">
        <v>95.94</v>
      </c>
      <c r="Q115" s="39">
        <v>308</v>
      </c>
    </row>
    <row r="116" spans="1:17">
      <c r="A116" s="13">
        <v>109</v>
      </c>
      <c r="B116" s="75" t="s">
        <v>128</v>
      </c>
      <c r="C116" s="37">
        <f t="shared" si="15"/>
        <v>508.03999999999996</v>
      </c>
      <c r="D116" s="55">
        <v>350.95</v>
      </c>
      <c r="E116" s="55"/>
      <c r="F116" s="55">
        <f>131.69+25.4</f>
        <v>157.09</v>
      </c>
      <c r="G116" s="82"/>
      <c r="H116" s="87"/>
      <c r="I116" s="55"/>
      <c r="J116" s="55"/>
      <c r="K116" s="55"/>
      <c r="L116" s="55">
        <v>328.81</v>
      </c>
      <c r="M116" s="55">
        <f t="shared" si="13"/>
        <v>328.81</v>
      </c>
      <c r="N116" s="55">
        <f t="shared" si="14"/>
        <v>0</v>
      </c>
      <c r="O116" s="54"/>
      <c r="P116" s="53">
        <v>180.19</v>
      </c>
      <c r="Q116" s="54">
        <v>509</v>
      </c>
    </row>
    <row r="117" spans="1:17">
      <c r="A117" s="13">
        <v>110</v>
      </c>
      <c r="B117" s="36" t="s">
        <v>129</v>
      </c>
      <c r="C117" s="37">
        <f t="shared" si="15"/>
        <v>330.15</v>
      </c>
      <c r="D117" s="38">
        <f>281.83-57.8-0.62</f>
        <v>223.40999999999997</v>
      </c>
      <c r="E117" s="38"/>
      <c r="F117" s="38">
        <f>48.14+58.6</f>
        <v>106.74000000000001</v>
      </c>
      <c r="G117" s="81"/>
      <c r="H117" s="85"/>
      <c r="I117" s="38"/>
      <c r="J117" s="38"/>
      <c r="K117" s="38"/>
      <c r="L117" s="38">
        <f>331.53-69</f>
        <v>262.52999999999997</v>
      </c>
      <c r="M117" s="38">
        <f t="shared" si="13"/>
        <v>262.52999999999997</v>
      </c>
      <c r="N117" s="38">
        <f t="shared" si="14"/>
        <v>0</v>
      </c>
      <c r="O117" s="39"/>
      <c r="P117" s="38">
        <f>61.47+69</f>
        <v>130.47</v>
      </c>
      <c r="Q117" s="39">
        <v>393</v>
      </c>
    </row>
    <row r="118" spans="1:17">
      <c r="A118" s="13">
        <v>111</v>
      </c>
      <c r="B118" s="36" t="s">
        <v>130</v>
      </c>
      <c r="C118" s="37">
        <f t="shared" si="15"/>
        <v>879.79000000000008</v>
      </c>
      <c r="D118" s="38">
        <f>710.91+67.33+3.21-2.05</f>
        <v>779.40000000000009</v>
      </c>
      <c r="E118" s="38"/>
      <c r="F118" s="38">
        <v>100.39</v>
      </c>
      <c r="G118" s="81"/>
      <c r="H118" s="85"/>
      <c r="I118" s="38"/>
      <c r="J118" s="38"/>
      <c r="K118" s="38"/>
      <c r="L118" s="38">
        <f>982.4-45.59</f>
        <v>936.81</v>
      </c>
      <c r="M118" s="38">
        <f t="shared" si="13"/>
        <v>936.81</v>
      </c>
      <c r="N118" s="38">
        <f t="shared" si="14"/>
        <v>0</v>
      </c>
      <c r="O118" s="39"/>
      <c r="P118" s="38">
        <f>116.6-5.41</f>
        <v>111.19</v>
      </c>
      <c r="Q118" s="39">
        <v>1048</v>
      </c>
    </row>
    <row r="119" spans="1:17">
      <c r="A119" s="13">
        <v>112</v>
      </c>
      <c r="B119" s="36" t="s">
        <v>131</v>
      </c>
      <c r="C119" s="37">
        <f t="shared" si="15"/>
        <v>474.74</v>
      </c>
      <c r="D119" s="38">
        <f>374.44-39.5+8.12-54.7+1.66+0.52</f>
        <v>290.54000000000002</v>
      </c>
      <c r="E119" s="38"/>
      <c r="F119" s="38">
        <f>129.5+54.7</f>
        <v>184.2</v>
      </c>
      <c r="G119" s="81"/>
      <c r="H119" s="85"/>
      <c r="I119" s="38"/>
      <c r="J119" s="38"/>
      <c r="K119" s="38"/>
      <c r="L119" s="38">
        <f>368.76-57</f>
        <v>311.76</v>
      </c>
      <c r="M119" s="38">
        <f t="shared" si="13"/>
        <v>311.76</v>
      </c>
      <c r="N119" s="38">
        <f t="shared" si="14"/>
        <v>0</v>
      </c>
      <c r="O119" s="39"/>
      <c r="P119" s="38">
        <f>149.24+57</f>
        <v>206.24</v>
      </c>
      <c r="Q119" s="39">
        <v>518</v>
      </c>
    </row>
    <row r="120" spans="1:17">
      <c r="A120" s="13">
        <v>113</v>
      </c>
      <c r="B120" s="36" t="s">
        <v>132</v>
      </c>
      <c r="C120" s="37">
        <f t="shared" si="15"/>
        <v>841.24</v>
      </c>
      <c r="D120" s="38">
        <f>734.14-85.46+68.28+35.96-75+52.53+85.46-68.28-35.96+18.78+3.19+14.6-99.3</f>
        <v>648.94000000000005</v>
      </c>
      <c r="E120" s="38"/>
      <c r="F120" s="38">
        <f>94.1+98.2</f>
        <v>192.3</v>
      </c>
      <c r="G120" s="81"/>
      <c r="H120" s="85"/>
      <c r="I120" s="38"/>
      <c r="J120" s="38"/>
      <c r="K120" s="38"/>
      <c r="L120" s="38">
        <f>544.02-66</f>
        <v>478.02</v>
      </c>
      <c r="M120" s="38">
        <f t="shared" si="13"/>
        <v>478.02</v>
      </c>
      <c r="N120" s="38">
        <f t="shared" si="14"/>
        <v>0</v>
      </c>
      <c r="O120" s="39"/>
      <c r="P120" s="38">
        <f>60.98+66</f>
        <v>126.97999999999999</v>
      </c>
      <c r="Q120" s="39">
        <v>605</v>
      </c>
    </row>
    <row r="121" spans="1:17">
      <c r="A121" s="13">
        <v>114</v>
      </c>
      <c r="B121" s="36" t="s">
        <v>133</v>
      </c>
      <c r="C121" s="37">
        <f t="shared" si="15"/>
        <v>815.27</v>
      </c>
      <c r="D121" s="38">
        <f>627.31-0.12-24.91+24.91</f>
        <v>627.18999999999994</v>
      </c>
      <c r="E121" s="38"/>
      <c r="F121" s="38">
        <v>188.08</v>
      </c>
      <c r="G121" s="81"/>
      <c r="H121" s="85"/>
      <c r="I121" s="38"/>
      <c r="J121" s="38"/>
      <c r="K121" s="38"/>
      <c r="L121" s="38">
        <v>989.19</v>
      </c>
      <c r="M121" s="38">
        <f t="shared" si="13"/>
        <v>989.19</v>
      </c>
      <c r="N121" s="38">
        <f t="shared" si="14"/>
        <v>0</v>
      </c>
      <c r="O121" s="39"/>
      <c r="P121" s="38">
        <v>296.81</v>
      </c>
      <c r="Q121" s="39">
        <v>1286</v>
      </c>
    </row>
    <row r="122" spans="1:17">
      <c r="A122" s="13">
        <v>115</v>
      </c>
      <c r="B122" s="40" t="s">
        <v>134</v>
      </c>
      <c r="C122" s="37">
        <f t="shared" si="15"/>
        <v>4302.92</v>
      </c>
      <c r="D122" s="38">
        <f>2535.68-39.02-32.47-32.47+0.77-57.21-37.94-57.21-58-32.47-32.2-48.16-32.47-48.17-32.08-58-48.16-37.75-37.94-0.29+0.08+0.04</f>
        <v>1814.5600000000006</v>
      </c>
      <c r="E122" s="38"/>
      <c r="F122" s="38">
        <f>1696.93+37.75+32.08+39.03+32.47+32.47+57.21+37.94+57.21+58+32.47+32.08+48.16+32.08+48.16+58+32.47+48.16+37.75+37.94</f>
        <v>2488.3599999999992</v>
      </c>
      <c r="G122" s="81"/>
      <c r="H122" s="85"/>
      <c r="I122" s="38"/>
      <c r="J122" s="38"/>
      <c r="K122" s="38"/>
      <c r="L122" s="38">
        <f>592.11-10-14-14-8-8-12-8-8-14-12-12-10-9</f>
        <v>453.11</v>
      </c>
      <c r="M122" s="38">
        <f t="shared" si="13"/>
        <v>453.11</v>
      </c>
      <c r="N122" s="38">
        <f t="shared" si="14"/>
        <v>0</v>
      </c>
      <c r="O122" s="39"/>
      <c r="P122" s="38">
        <f>482.89+10+14+30+12+8+34+12+10+9</f>
        <v>621.89</v>
      </c>
      <c r="Q122" s="39">
        <v>1075</v>
      </c>
    </row>
    <row r="123" spans="1:17">
      <c r="A123" s="13">
        <v>116</v>
      </c>
      <c r="B123" s="36" t="s">
        <v>135</v>
      </c>
      <c r="C123" s="37">
        <f t="shared" si="15"/>
        <v>967.56999999999994</v>
      </c>
      <c r="D123" s="38">
        <f>817.11-2.47+0.06+2-1.53+1.67</f>
        <v>816.83999999999992</v>
      </c>
      <c r="E123" s="38"/>
      <c r="F123" s="38">
        <f>150.73</f>
        <v>150.72999999999999</v>
      </c>
      <c r="G123" s="81"/>
      <c r="H123" s="85"/>
      <c r="I123" s="38"/>
      <c r="J123" s="38"/>
      <c r="K123" s="38"/>
      <c r="L123" s="38">
        <v>482.95</v>
      </c>
      <c r="M123" s="38">
        <f t="shared" si="13"/>
        <v>482.95</v>
      </c>
      <c r="N123" s="38">
        <f t="shared" si="14"/>
        <v>0</v>
      </c>
      <c r="O123" s="39"/>
      <c r="P123" s="38">
        <v>94.05</v>
      </c>
      <c r="Q123" s="39">
        <v>577</v>
      </c>
    </row>
    <row r="124" spans="1:17">
      <c r="A124" s="13">
        <v>117</v>
      </c>
      <c r="B124" s="36" t="s">
        <v>136</v>
      </c>
      <c r="C124" s="37">
        <f t="shared" si="15"/>
        <v>1459.7300000000002</v>
      </c>
      <c r="D124" s="38">
        <f>1378.92-1.02-42.07-0.01</f>
        <v>1335.8200000000002</v>
      </c>
      <c r="E124" s="38"/>
      <c r="F124" s="38">
        <f>81.84+42.07</f>
        <v>123.91</v>
      </c>
      <c r="G124" s="81"/>
      <c r="H124" s="85"/>
      <c r="I124" s="38"/>
      <c r="J124" s="38"/>
      <c r="K124" s="38"/>
      <c r="L124" s="38">
        <f>2149.66-56</f>
        <v>2093.66</v>
      </c>
      <c r="M124" s="38">
        <f t="shared" si="13"/>
        <v>2093.66</v>
      </c>
      <c r="N124" s="38">
        <f t="shared" si="14"/>
        <v>0</v>
      </c>
      <c r="O124" s="39"/>
      <c r="P124" s="38">
        <f>109.34+56</f>
        <v>165.34</v>
      </c>
      <c r="Q124" s="39">
        <v>2259</v>
      </c>
    </row>
    <row r="125" spans="1:17">
      <c r="A125" s="13">
        <v>118</v>
      </c>
      <c r="B125" s="36" t="s">
        <v>137</v>
      </c>
      <c r="C125" s="37">
        <f t="shared" si="15"/>
        <v>227.26999999999998</v>
      </c>
      <c r="D125" s="38">
        <f>188.47</f>
        <v>188.47</v>
      </c>
      <c r="E125" s="38"/>
      <c r="F125" s="38">
        <v>38.799999999999997</v>
      </c>
      <c r="G125" s="81"/>
      <c r="H125" s="85"/>
      <c r="I125" s="38"/>
      <c r="J125" s="38"/>
      <c r="K125" s="38"/>
      <c r="L125" s="38">
        <v>298.95999999999998</v>
      </c>
      <c r="M125" s="38">
        <f t="shared" si="13"/>
        <v>298.95999999999998</v>
      </c>
      <c r="N125" s="38">
        <f t="shared" si="14"/>
        <v>0</v>
      </c>
      <c r="O125" s="38">
        <f>K125*Q125/C125</f>
        <v>0</v>
      </c>
      <c r="P125" s="38">
        <v>7.04</v>
      </c>
      <c r="Q125" s="39">
        <v>306</v>
      </c>
    </row>
    <row r="126" spans="1:17">
      <c r="A126" s="13">
        <v>119</v>
      </c>
      <c r="B126" s="36" t="s">
        <v>138</v>
      </c>
      <c r="C126" s="37">
        <f t="shared" si="15"/>
        <v>942.71</v>
      </c>
      <c r="D126" s="38">
        <f>574.82-0.02+0.7-53.62-53.62-50.62-1.12-54.3</f>
        <v>362.22000000000008</v>
      </c>
      <c r="E126" s="38"/>
      <c r="F126" s="38">
        <f>369.69+54.3+51.6+50.6+54.3</f>
        <v>580.49</v>
      </c>
      <c r="G126" s="81"/>
      <c r="H126" s="85"/>
      <c r="I126" s="38"/>
      <c r="J126" s="38"/>
      <c r="K126" s="38"/>
      <c r="L126" s="38">
        <f>815.99-76-73-72-76</f>
        <v>518.99</v>
      </c>
      <c r="M126" s="38">
        <f t="shared" si="13"/>
        <v>518.99</v>
      </c>
      <c r="N126" s="38">
        <f t="shared" si="14"/>
        <v>0</v>
      </c>
      <c r="O126" s="39"/>
      <c r="P126" s="38">
        <f>523.01+76+73+72+76</f>
        <v>820.01</v>
      </c>
      <c r="Q126" s="39">
        <v>1339</v>
      </c>
    </row>
    <row r="127" spans="1:17">
      <c r="A127" s="13">
        <v>120</v>
      </c>
      <c r="B127" s="36" t="s">
        <v>139</v>
      </c>
      <c r="C127" s="37">
        <f t="shared" si="15"/>
        <v>815.39999999999986</v>
      </c>
      <c r="D127" s="38">
        <f>585.12+2.42-49.58-119.29-70.07-47.02+1.29</f>
        <v>302.86999999999995</v>
      </c>
      <c r="E127" s="38"/>
      <c r="F127" s="38">
        <f>220.24+50.88+123.99+70.4+47.02</f>
        <v>512.53</v>
      </c>
      <c r="G127" s="81">
        <v>0</v>
      </c>
      <c r="H127" s="85"/>
      <c r="I127" s="38"/>
      <c r="J127" s="38"/>
      <c r="K127" s="38"/>
      <c r="L127" s="38">
        <f>890.42-77-183-105-70</f>
        <v>455.41999999999996</v>
      </c>
      <c r="M127" s="38">
        <f t="shared" si="13"/>
        <v>455.42000000000007</v>
      </c>
      <c r="N127" s="38">
        <f t="shared" si="14"/>
        <v>0</v>
      </c>
      <c r="O127" s="39"/>
      <c r="P127" s="38">
        <f>337.58+77+183+105+70</f>
        <v>772.57999999999993</v>
      </c>
      <c r="Q127" s="39">
        <v>1228</v>
      </c>
    </row>
    <row r="128" spans="1:17">
      <c r="A128" s="13">
        <v>121</v>
      </c>
      <c r="B128" s="75" t="s">
        <v>140</v>
      </c>
      <c r="C128" s="37">
        <f t="shared" si="15"/>
        <v>3276.0300000000007</v>
      </c>
      <c r="D128" s="55">
        <v>1712.15</v>
      </c>
      <c r="E128" s="55"/>
      <c r="F128" s="55">
        <f>769.68+37.8+48.2+48.2+37.8+48.2+48.2+48.2+48.2+48.2+55.9+55.9+48.2+48.2+48.2+37.8+37.8+48.2+1</f>
        <v>1563.8800000000003</v>
      </c>
      <c r="G128" s="82"/>
      <c r="H128" s="87"/>
      <c r="I128" s="55"/>
      <c r="J128" s="55"/>
      <c r="K128" s="55"/>
      <c r="L128" s="55">
        <f>333.68-5-7-7-7-7-8-7-8-7-7-7-5-5-7</f>
        <v>239.68</v>
      </c>
      <c r="M128" s="55">
        <f t="shared" ref="M128:M136" si="16">Q128-P128-O128-N128</f>
        <v>239.68</v>
      </c>
      <c r="N128" s="55">
        <f t="shared" si="14"/>
        <v>0</v>
      </c>
      <c r="O128" s="54"/>
      <c r="P128" s="53">
        <f>131.32+5+7+7+7+7+8+7+8+7+7+7+5+5+7</f>
        <v>225.32</v>
      </c>
      <c r="Q128" s="54">
        <v>465</v>
      </c>
    </row>
    <row r="129" spans="1:34">
      <c r="A129" s="13">
        <v>122</v>
      </c>
      <c r="B129" s="75" t="s">
        <v>141</v>
      </c>
      <c r="C129" s="37">
        <f t="shared" si="15"/>
        <v>442.33</v>
      </c>
      <c r="D129" s="55">
        <v>262.31</v>
      </c>
      <c r="E129" s="55"/>
      <c r="F129" s="55">
        <f>90.02+90</f>
        <v>180.01999999999998</v>
      </c>
      <c r="G129" s="82"/>
      <c r="H129" s="87"/>
      <c r="I129" s="55"/>
      <c r="J129" s="55"/>
      <c r="K129" s="55"/>
      <c r="L129" s="55">
        <f>580.69-161</f>
        <v>419.69000000000005</v>
      </c>
      <c r="M129" s="55">
        <f t="shared" si="16"/>
        <v>419.69</v>
      </c>
      <c r="N129" s="55">
        <f t="shared" si="14"/>
        <v>0</v>
      </c>
      <c r="O129" s="54"/>
      <c r="P129" s="53">
        <f>161.31+161</f>
        <v>322.31</v>
      </c>
      <c r="Q129" s="54">
        <v>742</v>
      </c>
    </row>
    <row r="130" spans="1:34">
      <c r="A130" s="13">
        <v>123</v>
      </c>
      <c r="B130" s="36" t="s">
        <v>142</v>
      </c>
      <c r="C130" s="37">
        <f t="shared" si="15"/>
        <v>440.95000000000005</v>
      </c>
      <c r="D130" s="38">
        <f>411.78-89.58-2.31-1.03</f>
        <v>318.86</v>
      </c>
      <c r="E130" s="38"/>
      <c r="F130" s="38">
        <f>31.59+90.5</f>
        <v>122.09</v>
      </c>
      <c r="G130" s="81"/>
      <c r="H130" s="85"/>
      <c r="I130" s="38"/>
      <c r="J130" s="38"/>
      <c r="K130" s="38"/>
      <c r="L130" s="38">
        <f>839.29-199</f>
        <v>640.29</v>
      </c>
      <c r="M130" s="38">
        <f t="shared" si="16"/>
        <v>640.29</v>
      </c>
      <c r="N130" s="38">
        <f t="shared" si="14"/>
        <v>0</v>
      </c>
      <c r="O130" s="39"/>
      <c r="P130" s="38">
        <f>70.71+199</f>
        <v>269.70999999999998</v>
      </c>
      <c r="Q130" s="39">
        <v>910</v>
      </c>
    </row>
    <row r="131" spans="1:34">
      <c r="A131" s="13">
        <v>124</v>
      </c>
      <c r="B131" s="36" t="s">
        <v>143</v>
      </c>
      <c r="C131" s="37">
        <f t="shared" si="15"/>
        <v>774.56999999999994</v>
      </c>
      <c r="D131" s="38">
        <f>421.65-23.9-40.72-47.05</f>
        <v>309.97999999999996</v>
      </c>
      <c r="E131" s="38"/>
      <c r="F131" s="38">
        <f>352.72+23.4+41.7-0.33+47.1</f>
        <v>464.59000000000003</v>
      </c>
      <c r="G131" s="81"/>
      <c r="H131" s="85"/>
      <c r="I131" s="38"/>
      <c r="J131" s="38"/>
      <c r="K131" s="38"/>
      <c r="L131" s="38">
        <f>537.59-66</f>
        <v>471.59000000000003</v>
      </c>
      <c r="M131" s="38">
        <f t="shared" si="16"/>
        <v>471.59000000000003</v>
      </c>
      <c r="N131" s="38">
        <f t="shared" si="14"/>
        <v>0</v>
      </c>
      <c r="O131" s="39"/>
      <c r="P131" s="38">
        <f>558.41+66</f>
        <v>624.41</v>
      </c>
      <c r="Q131" s="39">
        <v>1096</v>
      </c>
    </row>
    <row r="132" spans="1:34">
      <c r="A132" s="13">
        <v>125</v>
      </c>
      <c r="B132" s="36" t="s">
        <v>144</v>
      </c>
      <c r="C132" s="37">
        <f>D132+E132+F132+G132+H132+I132+J132+K132</f>
        <v>438.25</v>
      </c>
      <c r="D132" s="38">
        <f>227.5-50.8-50.7-40.31</f>
        <v>85.689999999999984</v>
      </c>
      <c r="E132" s="38"/>
      <c r="F132" s="38">
        <f>214.41+47.14+50.7+40.31</f>
        <v>352.56</v>
      </c>
      <c r="G132" s="81"/>
      <c r="H132" s="85"/>
      <c r="I132" s="38"/>
      <c r="J132" s="38"/>
      <c r="K132" s="38"/>
      <c r="L132" s="38">
        <f>324.54-96-75</f>
        <v>153.54000000000002</v>
      </c>
      <c r="M132" s="38">
        <f t="shared" si="16"/>
        <v>153.53999999999996</v>
      </c>
      <c r="N132" s="38">
        <f t="shared" si="14"/>
        <v>0</v>
      </c>
      <c r="O132" s="39"/>
      <c r="P132" s="38">
        <f>511.46+96+75</f>
        <v>682.46</v>
      </c>
      <c r="Q132" s="39">
        <v>836</v>
      </c>
    </row>
    <row r="133" spans="1:34">
      <c r="A133" s="13">
        <v>126</v>
      </c>
      <c r="B133" s="36" t="s">
        <v>145</v>
      </c>
      <c r="C133" s="37">
        <f>D133+E133+F133+G133+H133+I133+J133+K133</f>
        <v>3169</v>
      </c>
      <c r="D133" s="38">
        <f>2154.1-35.33-44.18-0.03-23.04-45.14+0.03-81.93+0.04-46.6-23.07</f>
        <v>1854.85</v>
      </c>
      <c r="E133" s="38"/>
      <c r="F133" s="38">
        <f>872.72+23.86+35.33+44.18+23.04+45.14+81.93+46.6+0.03+23.07</f>
        <v>1195.8999999999999</v>
      </c>
      <c r="G133" s="81">
        <f>69.22+49.03</f>
        <v>118.25</v>
      </c>
      <c r="H133" s="85"/>
      <c r="I133" s="38"/>
      <c r="J133" s="38"/>
      <c r="K133" s="38"/>
      <c r="L133" s="38">
        <f>502.12-10-5-10-8-11-11-5</f>
        <v>442.12</v>
      </c>
      <c r="M133" s="38">
        <f t="shared" si="16"/>
        <v>442.12</v>
      </c>
      <c r="N133" s="38">
        <f t="shared" si="14"/>
        <v>32.669999999999959</v>
      </c>
      <c r="O133" s="39"/>
      <c r="P133" s="38">
        <f>216.21+10+5+10+19+11+5</f>
        <v>276.21000000000004</v>
      </c>
      <c r="Q133" s="39">
        <v>751</v>
      </c>
    </row>
    <row r="134" spans="1:34">
      <c r="A134" s="13">
        <v>127</v>
      </c>
      <c r="B134" s="36" t="s">
        <v>146</v>
      </c>
      <c r="C134" s="37">
        <f>D134+E134+F134+G134+H134+I134+J134+K134</f>
        <v>1967.81</v>
      </c>
      <c r="D134" s="38">
        <f>1321.7-35.77+0.13-36.58-34.29-48.9-0.67-35.56-38.8-85.69-38.8-47.69-0.72-1.77</f>
        <v>916.59000000000015</v>
      </c>
      <c r="E134" s="38"/>
      <c r="F134" s="38">
        <f>653.47+35.77+36.58+34.29+47.9+35.56+38.8+35.56+47.69+38.8+47.69-0.89</f>
        <v>1051.2199999999998</v>
      </c>
      <c r="G134" s="81"/>
      <c r="H134" s="85"/>
      <c r="I134" s="38"/>
      <c r="J134" s="38"/>
      <c r="K134" s="38"/>
      <c r="L134" s="38">
        <f>378.34-15-11-12-11-15-12-15</f>
        <v>287.33999999999997</v>
      </c>
      <c r="M134" s="38">
        <f t="shared" si="16"/>
        <v>287.34000000000003</v>
      </c>
      <c r="N134" s="38">
        <f t="shared" si="14"/>
        <v>0</v>
      </c>
      <c r="O134" s="39"/>
      <c r="P134" s="38">
        <f>238.66+15+11+12+11+15+12+15</f>
        <v>329.65999999999997</v>
      </c>
      <c r="Q134" s="39">
        <v>617</v>
      </c>
    </row>
    <row r="135" spans="1:34">
      <c r="A135" s="13">
        <v>128</v>
      </c>
      <c r="B135" s="36" t="s">
        <v>147</v>
      </c>
      <c r="C135" s="37">
        <f>D135+E135+F135+G135+H135+I135+J135+K135</f>
        <v>1614.9300000000003</v>
      </c>
      <c r="D135" s="38">
        <f>931.93-34.46-87-43.24-34.28-35.55-34.66-42.37-0.06-43.79-52.33+0.75+0.09-44.2</f>
        <v>480.8300000000001</v>
      </c>
      <c r="E135" s="38"/>
      <c r="F135" s="38">
        <f>680.43+34.46+87.5+43.2+34.28+35.55+34.7+43.4+44.2+52.3-0.12+44.2</f>
        <v>1134.1000000000001</v>
      </c>
      <c r="G135" s="81"/>
      <c r="H135" s="85"/>
      <c r="I135" s="38"/>
      <c r="J135" s="38"/>
      <c r="K135" s="38"/>
      <c r="L135" s="38">
        <f>198.16-10-9-12-12-14-12</f>
        <v>129.16</v>
      </c>
      <c r="M135" s="38">
        <f t="shared" si="16"/>
        <v>129.15999999999997</v>
      </c>
      <c r="N135" s="38">
        <f t="shared" si="14"/>
        <v>0</v>
      </c>
      <c r="O135" s="39"/>
      <c r="P135" s="38">
        <f>237.84+10+9+12+12+14+12</f>
        <v>306.84000000000003</v>
      </c>
      <c r="Q135" s="39">
        <v>436</v>
      </c>
    </row>
    <row r="136" spans="1:34">
      <c r="A136" s="13">
        <v>129</v>
      </c>
      <c r="B136" s="40" t="s">
        <v>148</v>
      </c>
      <c r="C136" s="37">
        <f>D136+E136+F136+G136+H136+I136+J136+K136</f>
        <v>1606.8599999999997</v>
      </c>
      <c r="D136" s="38">
        <f>1006.04-35.19-35.3-35-34.92-70.32-52.83-51.87-0.42+0.32+0.38</f>
        <v>690.89</v>
      </c>
      <c r="E136" s="38"/>
      <c r="F136" s="38">
        <f>601.3+35.2+35.3+35+35+70.3+52.3+52.3-0.73</f>
        <v>915.9699999999998</v>
      </c>
      <c r="G136" s="81"/>
      <c r="H136" s="85"/>
      <c r="I136" s="38"/>
      <c r="J136" s="38"/>
      <c r="K136" s="38"/>
      <c r="L136" s="38">
        <f>1051.9-39-39-78-59-59</f>
        <v>777.90000000000009</v>
      </c>
      <c r="M136" s="38">
        <f t="shared" si="16"/>
        <v>777.90000000000009</v>
      </c>
      <c r="N136" s="38">
        <f t="shared" si="14"/>
        <v>0</v>
      </c>
      <c r="O136" s="39"/>
      <c r="P136" s="38">
        <f>761.1+39+39+78+59+59</f>
        <v>1035.0999999999999</v>
      </c>
      <c r="Q136" s="39">
        <v>1813</v>
      </c>
    </row>
    <row r="137" spans="1:34">
      <c r="A137" s="17"/>
      <c r="B137" s="49" t="s">
        <v>149</v>
      </c>
      <c r="C137" s="50"/>
      <c r="D137" s="51">
        <f>SUM(D8:D136)</f>
        <v>74427.78</v>
      </c>
      <c r="E137" s="51">
        <f t="shared" ref="E137:O137" si="17">SUM(E8:E136)</f>
        <v>0</v>
      </c>
      <c r="F137" s="51">
        <f t="shared" si="17"/>
        <v>64300.959999999999</v>
      </c>
      <c r="G137" s="51">
        <f t="shared" si="17"/>
        <v>3242.2399999999993</v>
      </c>
      <c r="H137" s="51">
        <f t="shared" si="17"/>
        <v>0</v>
      </c>
      <c r="I137" s="51">
        <f t="shared" si="17"/>
        <v>0</v>
      </c>
      <c r="J137" s="51">
        <f t="shared" si="17"/>
        <v>0</v>
      </c>
      <c r="K137" s="51">
        <f t="shared" si="17"/>
        <v>1199.0999999999999</v>
      </c>
      <c r="L137" s="51">
        <f>SUM(L7:L136)</f>
        <v>103920.56999999996</v>
      </c>
      <c r="M137" s="51">
        <f t="shared" si="17"/>
        <v>106388.56999999996</v>
      </c>
      <c r="N137" s="51">
        <f t="shared" si="17"/>
        <v>3095.5000000000009</v>
      </c>
      <c r="O137" s="52">
        <f t="shared" si="17"/>
        <v>0</v>
      </c>
      <c r="P137" s="52">
        <f>SUM(P8:P136)</f>
        <v>76107.530000000042</v>
      </c>
      <c r="Q137" s="52">
        <f>SUM(Q8:Q136)</f>
        <v>185591.6</v>
      </c>
    </row>
    <row r="138" spans="1:34" ht="15.75">
      <c r="A138" s="17"/>
      <c r="B138" s="18"/>
      <c r="C138" s="19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19"/>
      <c r="P138" s="19"/>
      <c r="Q138" s="19"/>
      <c r="R138" s="19"/>
      <c r="S138" s="19"/>
      <c r="T138" s="19">
        <f t="shared" ref="T138:AH138" si="18">SUM(T7:T136)</f>
        <v>0</v>
      </c>
      <c r="U138" s="19">
        <f t="shared" si="18"/>
        <v>0</v>
      </c>
      <c r="V138" s="19">
        <f t="shared" si="18"/>
        <v>0</v>
      </c>
      <c r="W138" s="19">
        <f t="shared" si="18"/>
        <v>0</v>
      </c>
      <c r="X138" s="19">
        <f t="shared" si="18"/>
        <v>0</v>
      </c>
      <c r="Y138" s="19">
        <f t="shared" si="18"/>
        <v>0</v>
      </c>
      <c r="Z138" s="19">
        <f t="shared" si="18"/>
        <v>0</v>
      </c>
      <c r="AA138" s="19">
        <f t="shared" si="18"/>
        <v>0</v>
      </c>
      <c r="AB138" s="19">
        <f t="shared" si="18"/>
        <v>0</v>
      </c>
      <c r="AC138" s="19">
        <f t="shared" si="18"/>
        <v>0</v>
      </c>
      <c r="AD138" s="19">
        <f t="shared" si="18"/>
        <v>0</v>
      </c>
      <c r="AE138" s="19">
        <f t="shared" si="18"/>
        <v>0</v>
      </c>
      <c r="AF138" s="19">
        <f t="shared" si="18"/>
        <v>0</v>
      </c>
      <c r="AG138" s="19">
        <f t="shared" si="18"/>
        <v>0</v>
      </c>
      <c r="AH138" s="19">
        <f t="shared" si="18"/>
        <v>0</v>
      </c>
    </row>
    <row r="139" spans="1:34">
      <c r="A139" s="17"/>
      <c r="B139" s="23"/>
      <c r="C139" s="19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34">
      <c r="A140" s="17"/>
      <c r="B140" s="23"/>
      <c r="C140" s="1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1"/>
      <c r="P140" s="20"/>
      <c r="Q140" s="21"/>
    </row>
    <row r="141" spans="1:34">
      <c r="C141" s="24"/>
      <c r="D141" s="24"/>
      <c r="E141" s="24"/>
      <c r="F141" s="25"/>
      <c r="G141" s="24"/>
      <c r="H141" s="24"/>
      <c r="I141" s="24"/>
      <c r="J141" s="24"/>
      <c r="K141" s="24"/>
      <c r="M141" s="16"/>
      <c r="N141" s="26"/>
      <c r="O141" s="16"/>
      <c r="Q141" s="24"/>
    </row>
    <row r="142" spans="1:34">
      <c r="D142" s="16"/>
      <c r="F142" s="27"/>
      <c r="G142" s="28"/>
      <c r="I142" s="29"/>
      <c r="M142" s="16"/>
      <c r="N142" s="26"/>
      <c r="O142" s="16"/>
    </row>
    <row r="143" spans="1:34">
      <c r="F143" s="27"/>
      <c r="J143" s="26"/>
      <c r="M143" s="16"/>
      <c r="N143" s="26"/>
      <c r="Q143" s="24"/>
    </row>
    <row r="144" spans="1:34">
      <c r="F144" s="27"/>
      <c r="J144" s="26"/>
      <c r="M144" s="16"/>
      <c r="N144" s="26"/>
    </row>
    <row r="145" spans="3:17">
      <c r="F145" s="27"/>
      <c r="J145" s="30">
        <f>SUM(J143:J144)</f>
        <v>0</v>
      </c>
      <c r="M145" s="31"/>
      <c r="N145" s="30"/>
    </row>
    <row r="146" spans="3:17">
      <c r="F146" s="27"/>
    </row>
    <row r="147" spans="3:17" ht="26.25">
      <c r="C147" s="4"/>
      <c r="F147" s="27"/>
      <c r="L147" s="32"/>
      <c r="M147" s="32"/>
      <c r="N147" s="32"/>
      <c r="O147" s="33"/>
      <c r="P147" s="33"/>
      <c r="Q147" s="4"/>
    </row>
    <row r="148" spans="3:17" ht="26.25">
      <c r="C148" s="4"/>
      <c r="L148" s="32"/>
      <c r="M148" s="32"/>
      <c r="N148" s="32"/>
      <c r="O148" s="33"/>
      <c r="P148" s="33"/>
      <c r="Q148" s="4"/>
    </row>
    <row r="149" spans="3:17" ht="26.25">
      <c r="C149" s="4"/>
      <c r="L149" s="32"/>
      <c r="M149" s="32"/>
      <c r="N149" s="32"/>
      <c r="O149" s="33"/>
      <c r="P149" s="33"/>
      <c r="Q149" s="4"/>
    </row>
    <row r="150" spans="3:17" ht="26.25">
      <c r="C150" s="4"/>
      <c r="L150" s="34"/>
      <c r="M150" s="32"/>
      <c r="N150" s="32"/>
      <c r="O150" s="33"/>
      <c r="P150" s="33"/>
      <c r="Q150" s="4"/>
    </row>
    <row r="151" spans="3:17" ht="25.5">
      <c r="C151" s="4"/>
      <c r="L151" s="35"/>
      <c r="M151" s="35"/>
      <c r="N151" s="35"/>
      <c r="Q151" s="4"/>
    </row>
    <row r="152" spans="3:17" ht="25.5">
      <c r="C152" s="4"/>
      <c r="L152" s="35"/>
      <c r="M152" s="35"/>
      <c r="N152" s="35"/>
      <c r="Q152" s="4"/>
    </row>
  </sheetData>
  <mergeCells count="11">
    <mergeCell ref="G5:K5"/>
    <mergeCell ref="L5:M5"/>
    <mergeCell ref="N5:O5"/>
    <mergeCell ref="Q5:Q6"/>
    <mergeCell ref="A7:B7"/>
    <mergeCell ref="A3:A5"/>
    <mergeCell ref="B3:B5"/>
    <mergeCell ref="C3:Q3"/>
    <mergeCell ref="C4:K4"/>
    <mergeCell ref="L4:Q4"/>
    <mergeCell ref="D5:F5"/>
  </mergeCells>
  <pageMargins left="0.7" right="0.7" top="0.75" bottom="0.75" header="0.3" footer="0.3"/>
  <pageSetup paperSize="9" scale="99" orientation="portrait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9"/>
  <sheetViews>
    <sheetView topLeftCell="A144" zoomScaleNormal="100" workbookViewId="0">
      <selection activeCell="B187" sqref="B187"/>
    </sheetView>
  </sheetViews>
  <sheetFormatPr defaultRowHeight="14.25"/>
  <cols>
    <col min="1" max="1" width="4.25" style="4" customWidth="1"/>
    <col min="2" max="2" width="21.75" style="4" customWidth="1"/>
    <col min="3" max="3" width="4.875" style="4" hidden="1" customWidth="1"/>
    <col min="4" max="4" width="12.625" style="6" hidden="1" customWidth="1"/>
    <col min="5" max="5" width="13.625" style="4" customWidth="1"/>
    <col min="6" max="6" width="16.75" style="4" hidden="1" customWidth="1"/>
    <col min="7" max="7" width="18" style="4" hidden="1" customWidth="1"/>
    <col min="8" max="8" width="11.75" style="4" customWidth="1"/>
    <col min="9" max="9" width="15.5" style="4" hidden="1" customWidth="1"/>
    <col min="10" max="11" width="12" style="4" hidden="1" customWidth="1"/>
    <col min="12" max="12" width="13.5" style="4" hidden="1" customWidth="1"/>
    <col min="13" max="13" width="13.375" style="4" customWidth="1"/>
    <col min="14" max="14" width="17.125" style="4" hidden="1" customWidth="1"/>
    <col min="15" max="15" width="14.75" style="4" customWidth="1"/>
    <col min="16" max="18" width="12" style="4" hidden="1" customWidth="1"/>
    <col min="19" max="19" width="14.375" style="4" hidden="1" customWidth="1"/>
    <col min="20" max="20" width="14.875" style="6" hidden="1" customWidth="1"/>
    <col min="21" max="21" width="15.125" style="4" customWidth="1"/>
    <col min="22" max="22" width="11.125" style="4" customWidth="1"/>
    <col min="23" max="16384" width="9" style="4"/>
  </cols>
  <sheetData>
    <row r="1" spans="1:21" ht="15.75">
      <c r="A1" s="1"/>
      <c r="B1" s="2" t="s">
        <v>429</v>
      </c>
      <c r="C1" s="1"/>
      <c r="D1" s="3"/>
      <c r="N1" s="5"/>
    </row>
    <row r="2" spans="1:21" ht="15" thickBot="1">
      <c r="A2" s="1"/>
      <c r="C2" s="1"/>
      <c r="D2" s="3"/>
      <c r="G2" s="4" t="s">
        <v>0</v>
      </c>
    </row>
    <row r="3" spans="1:21" ht="15">
      <c r="A3" s="169" t="s">
        <v>2</v>
      </c>
      <c r="B3" s="169" t="s">
        <v>3</v>
      </c>
      <c r="C3" s="192" t="s">
        <v>233</v>
      </c>
      <c r="D3" s="195" t="s">
        <v>4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96"/>
    </row>
    <row r="4" spans="1:21" ht="15">
      <c r="A4" s="170"/>
      <c r="B4" s="170"/>
      <c r="C4" s="193"/>
      <c r="D4" s="197" t="s">
        <v>5</v>
      </c>
      <c r="E4" s="198"/>
      <c r="F4" s="198"/>
      <c r="G4" s="198"/>
      <c r="H4" s="198"/>
      <c r="I4" s="198"/>
      <c r="J4" s="198"/>
      <c r="K4" s="198"/>
      <c r="L4" s="198"/>
      <c r="M4" s="199" t="s">
        <v>6</v>
      </c>
      <c r="N4" s="199"/>
      <c r="O4" s="199"/>
      <c r="P4" s="199"/>
      <c r="Q4" s="199"/>
      <c r="R4" s="199"/>
      <c r="S4" s="199"/>
      <c r="T4" s="199"/>
    </row>
    <row r="5" spans="1:21" ht="12.75" customHeight="1">
      <c r="A5" s="171"/>
      <c r="B5" s="171"/>
      <c r="C5" s="194"/>
      <c r="D5" s="96" t="s">
        <v>7</v>
      </c>
      <c r="E5" s="200" t="s">
        <v>8</v>
      </c>
      <c r="F5" s="201"/>
      <c r="G5" s="202"/>
      <c r="H5" s="203" t="s">
        <v>9</v>
      </c>
      <c r="I5" s="203"/>
      <c r="J5" s="203"/>
      <c r="K5" s="203"/>
      <c r="L5" s="203"/>
      <c r="M5" s="204" t="s">
        <v>10</v>
      </c>
      <c r="N5" s="204"/>
      <c r="O5" s="204" t="s">
        <v>11</v>
      </c>
      <c r="P5" s="204"/>
      <c r="Q5" s="97" t="s">
        <v>12</v>
      </c>
      <c r="R5" s="97" t="s">
        <v>234</v>
      </c>
      <c r="S5" s="97"/>
      <c r="T5" s="205" t="s">
        <v>7</v>
      </c>
    </row>
    <row r="6" spans="1:21" ht="12.75" customHeight="1" thickBot="1">
      <c r="A6" s="10"/>
      <c r="B6" s="9" t="s">
        <v>3</v>
      </c>
      <c r="C6" s="98"/>
      <c r="D6" s="99"/>
      <c r="E6" s="74" t="s">
        <v>14</v>
      </c>
      <c r="F6" s="74" t="s">
        <v>15</v>
      </c>
      <c r="G6" s="74" t="s">
        <v>16</v>
      </c>
      <c r="H6" s="74" t="s">
        <v>14</v>
      </c>
      <c r="I6" s="74" t="s">
        <v>17</v>
      </c>
      <c r="J6" s="74" t="s">
        <v>18</v>
      </c>
      <c r="K6" s="74" t="s">
        <v>19</v>
      </c>
      <c r="L6" s="74" t="s">
        <v>16</v>
      </c>
      <c r="M6" s="100" t="s">
        <v>14</v>
      </c>
      <c r="N6" s="100" t="s">
        <v>14</v>
      </c>
      <c r="O6" s="100" t="s">
        <v>14</v>
      </c>
      <c r="P6" s="100" t="s">
        <v>16</v>
      </c>
      <c r="Q6" s="101" t="s">
        <v>20</v>
      </c>
      <c r="R6" s="101" t="s">
        <v>235</v>
      </c>
      <c r="S6" s="101"/>
      <c r="T6" s="206"/>
    </row>
    <row r="7" spans="1:21">
      <c r="A7" s="56">
        <v>1</v>
      </c>
      <c r="B7" s="102" t="s">
        <v>236</v>
      </c>
      <c r="C7" s="103" t="s">
        <v>237</v>
      </c>
      <c r="D7" s="14">
        <f>H7+E7</f>
        <v>220.78999999999996</v>
      </c>
      <c r="E7" s="104">
        <v>220.78999999999996</v>
      </c>
      <c r="F7" s="104"/>
      <c r="G7" s="104"/>
      <c r="H7" s="104"/>
      <c r="I7" s="104"/>
      <c r="J7" s="104"/>
      <c r="K7" s="104"/>
      <c r="L7" s="104"/>
      <c r="M7" s="104">
        <v>461</v>
      </c>
      <c r="N7" s="105">
        <v>461</v>
      </c>
      <c r="O7" s="104">
        <v>0</v>
      </c>
      <c r="P7" s="106">
        <v>0</v>
      </c>
      <c r="Q7" s="106"/>
      <c r="R7" s="106"/>
      <c r="S7" s="106">
        <v>461</v>
      </c>
      <c r="T7" s="107">
        <v>461</v>
      </c>
      <c r="U7" s="16">
        <f>M7-495</f>
        <v>-34</v>
      </c>
    </row>
    <row r="8" spans="1:21">
      <c r="A8" s="56">
        <v>2</v>
      </c>
      <c r="B8" s="108" t="s">
        <v>238</v>
      </c>
      <c r="C8" s="13" t="s">
        <v>239</v>
      </c>
      <c r="D8" s="14">
        <f t="shared" ref="D8:D71" si="0">H8+E8</f>
        <v>464.24</v>
      </c>
      <c r="E8" s="106">
        <v>438.5</v>
      </c>
      <c r="F8" s="106"/>
      <c r="G8" s="106"/>
      <c r="H8" s="106">
        <v>25.74</v>
      </c>
      <c r="I8" s="106"/>
      <c r="J8" s="106"/>
      <c r="K8" s="106"/>
      <c r="L8" s="106"/>
      <c r="M8" s="106">
        <v>292</v>
      </c>
      <c r="N8" s="109">
        <v>256</v>
      </c>
      <c r="O8" s="106">
        <v>16</v>
      </c>
      <c r="P8" s="106">
        <v>0</v>
      </c>
      <c r="Q8" s="106"/>
      <c r="R8" s="106"/>
      <c r="S8" s="106">
        <v>308</v>
      </c>
      <c r="T8" s="107">
        <v>272</v>
      </c>
      <c r="U8" s="16">
        <f t="shared" ref="U8:U71" si="1">M8-495</f>
        <v>-203</v>
      </c>
    </row>
    <row r="9" spans="1:21">
      <c r="A9" s="56">
        <v>3</v>
      </c>
      <c r="B9" s="108" t="s">
        <v>240</v>
      </c>
      <c r="C9" s="13" t="s">
        <v>239</v>
      </c>
      <c r="D9" s="14">
        <f t="shared" si="0"/>
        <v>213.95</v>
      </c>
      <c r="E9" s="106">
        <v>213.95</v>
      </c>
      <c r="F9" s="106"/>
      <c r="G9" s="106"/>
      <c r="H9" s="106"/>
      <c r="I9" s="106"/>
      <c r="J9" s="106"/>
      <c r="K9" s="106"/>
      <c r="L9" s="106"/>
      <c r="M9" s="106">
        <v>494</v>
      </c>
      <c r="N9" s="109">
        <v>494</v>
      </c>
      <c r="O9" s="106">
        <v>0</v>
      </c>
      <c r="P9" s="106">
        <v>0</v>
      </c>
      <c r="Q9" s="106"/>
      <c r="R9" s="106"/>
      <c r="S9" s="106">
        <v>494</v>
      </c>
      <c r="T9" s="107">
        <v>494</v>
      </c>
      <c r="U9" s="16">
        <f t="shared" si="1"/>
        <v>-1</v>
      </c>
    </row>
    <row r="10" spans="1:21">
      <c r="A10" s="56">
        <v>4</v>
      </c>
      <c r="B10" s="108" t="s">
        <v>241</v>
      </c>
      <c r="C10" s="13" t="s">
        <v>239</v>
      </c>
      <c r="D10" s="14">
        <f t="shared" si="0"/>
        <v>134.79999999999998</v>
      </c>
      <c r="E10" s="106"/>
      <c r="F10" s="106"/>
      <c r="G10" s="106"/>
      <c r="H10" s="106">
        <v>134.79999999999998</v>
      </c>
      <c r="I10" s="106"/>
      <c r="J10" s="106"/>
      <c r="K10" s="106"/>
      <c r="L10" s="106"/>
      <c r="M10" s="106">
        <v>0</v>
      </c>
      <c r="N10" s="109">
        <v>0</v>
      </c>
      <c r="O10" s="106">
        <v>0</v>
      </c>
      <c r="P10" s="106">
        <v>0</v>
      </c>
      <c r="Q10" s="106"/>
      <c r="R10" s="106"/>
      <c r="S10" s="106">
        <v>0</v>
      </c>
      <c r="T10" s="107">
        <v>0</v>
      </c>
      <c r="U10" s="16">
        <f t="shared" si="1"/>
        <v>-495</v>
      </c>
    </row>
    <row r="11" spans="1:21">
      <c r="A11" s="56">
        <v>5</v>
      </c>
      <c r="B11" s="108" t="s">
        <v>242</v>
      </c>
      <c r="C11" s="13" t="s">
        <v>239</v>
      </c>
      <c r="D11" s="14">
        <f t="shared" si="0"/>
        <v>73.2</v>
      </c>
      <c r="E11" s="106"/>
      <c r="F11" s="106"/>
      <c r="G11" s="106"/>
      <c r="H11" s="106">
        <v>73.2</v>
      </c>
      <c r="I11" s="106"/>
      <c r="J11" s="106"/>
      <c r="K11" s="106"/>
      <c r="L11" s="106"/>
      <c r="M11" s="106">
        <v>0</v>
      </c>
      <c r="N11" s="109">
        <v>0</v>
      </c>
      <c r="O11" s="106">
        <v>669</v>
      </c>
      <c r="P11" s="106">
        <v>0</v>
      </c>
      <c r="Q11" s="106"/>
      <c r="R11" s="106"/>
      <c r="S11" s="106">
        <v>669</v>
      </c>
      <c r="T11" s="107">
        <v>669</v>
      </c>
      <c r="U11" s="16">
        <f t="shared" si="1"/>
        <v>-495</v>
      </c>
    </row>
    <row r="12" spans="1:21">
      <c r="A12" s="56">
        <v>6</v>
      </c>
      <c r="B12" s="108" t="s">
        <v>243</v>
      </c>
      <c r="C12" s="13" t="s">
        <v>239</v>
      </c>
      <c r="D12" s="14">
        <f t="shared" si="0"/>
        <v>590.85</v>
      </c>
      <c r="E12" s="106">
        <v>590.85</v>
      </c>
      <c r="F12" s="106"/>
      <c r="G12" s="106"/>
      <c r="H12" s="106"/>
      <c r="I12" s="106"/>
      <c r="J12" s="106"/>
      <c r="K12" s="106"/>
      <c r="L12" s="106"/>
      <c r="M12" s="106">
        <v>2106</v>
      </c>
      <c r="N12" s="109">
        <v>2106</v>
      </c>
      <c r="O12" s="106">
        <v>0</v>
      </c>
      <c r="P12" s="106">
        <v>0</v>
      </c>
      <c r="Q12" s="106"/>
      <c r="R12" s="106"/>
      <c r="S12" s="106">
        <v>2106</v>
      </c>
      <c r="T12" s="107">
        <v>2106</v>
      </c>
      <c r="U12" s="16">
        <f t="shared" si="1"/>
        <v>1611</v>
      </c>
    </row>
    <row r="13" spans="1:21">
      <c r="A13" s="56">
        <v>7</v>
      </c>
      <c r="B13" s="108" t="s">
        <v>244</v>
      </c>
      <c r="C13" s="13" t="s">
        <v>239</v>
      </c>
      <c r="D13" s="14">
        <f t="shared" si="0"/>
        <v>842.78000000000009</v>
      </c>
      <c r="E13" s="106">
        <v>842.78000000000009</v>
      </c>
      <c r="F13" s="106"/>
      <c r="G13" s="106"/>
      <c r="H13" s="106"/>
      <c r="I13" s="106"/>
      <c r="J13" s="106"/>
      <c r="K13" s="106"/>
      <c r="L13" s="106"/>
      <c r="M13" s="106">
        <v>1584</v>
      </c>
      <c r="N13" s="109">
        <v>1584</v>
      </c>
      <c r="O13" s="106">
        <v>0</v>
      </c>
      <c r="P13" s="106">
        <v>0</v>
      </c>
      <c r="Q13" s="106"/>
      <c r="R13" s="106"/>
      <c r="S13" s="106">
        <v>1584</v>
      </c>
      <c r="T13" s="107">
        <v>1584</v>
      </c>
      <c r="U13" s="16">
        <f t="shared" si="1"/>
        <v>1089</v>
      </c>
    </row>
    <row r="14" spans="1:21">
      <c r="A14" s="56">
        <v>8</v>
      </c>
      <c r="B14" s="108" t="s">
        <v>245</v>
      </c>
      <c r="C14" s="13" t="s">
        <v>239</v>
      </c>
      <c r="D14" s="14">
        <f t="shared" si="0"/>
        <v>635.89999999999986</v>
      </c>
      <c r="E14" s="106">
        <v>635.89999999999986</v>
      </c>
      <c r="F14" s="106"/>
      <c r="G14" s="106"/>
      <c r="H14" s="106"/>
      <c r="I14" s="106"/>
      <c r="J14" s="106"/>
      <c r="K14" s="106"/>
      <c r="L14" s="106"/>
      <c r="M14" s="106">
        <v>1505</v>
      </c>
      <c r="N14" s="109">
        <v>1505</v>
      </c>
      <c r="O14" s="106">
        <v>0</v>
      </c>
      <c r="P14" s="106">
        <v>0</v>
      </c>
      <c r="Q14" s="106"/>
      <c r="R14" s="106"/>
      <c r="S14" s="106">
        <v>1505</v>
      </c>
      <c r="T14" s="107">
        <v>1505</v>
      </c>
      <c r="U14" s="16">
        <f t="shared" si="1"/>
        <v>1010</v>
      </c>
    </row>
    <row r="15" spans="1:21">
      <c r="A15" s="56">
        <v>9</v>
      </c>
      <c r="B15" s="108" t="s">
        <v>246</v>
      </c>
      <c r="C15" s="13" t="s">
        <v>239</v>
      </c>
      <c r="D15" s="14">
        <f t="shared" si="0"/>
        <v>482.42999999999995</v>
      </c>
      <c r="E15" s="106">
        <v>482.42999999999995</v>
      </c>
      <c r="F15" s="106"/>
      <c r="G15" s="106"/>
      <c r="H15" s="106"/>
      <c r="I15" s="106"/>
      <c r="J15" s="106"/>
      <c r="K15" s="106"/>
      <c r="L15" s="106"/>
      <c r="M15" s="106">
        <v>1599</v>
      </c>
      <c r="N15" s="109">
        <v>1599</v>
      </c>
      <c r="O15" s="106">
        <v>0</v>
      </c>
      <c r="P15" s="106">
        <v>0</v>
      </c>
      <c r="Q15" s="106"/>
      <c r="R15" s="106"/>
      <c r="S15" s="106">
        <v>1599</v>
      </c>
      <c r="T15" s="107">
        <v>1599</v>
      </c>
      <c r="U15" s="16">
        <f t="shared" si="1"/>
        <v>1104</v>
      </c>
    </row>
    <row r="16" spans="1:21">
      <c r="A16" s="56">
        <v>10</v>
      </c>
      <c r="B16" s="108" t="s">
        <v>247</v>
      </c>
      <c r="C16" s="13" t="s">
        <v>239</v>
      </c>
      <c r="D16" s="14">
        <f t="shared" si="0"/>
        <v>282.8</v>
      </c>
      <c r="E16" s="106">
        <v>282.8</v>
      </c>
      <c r="F16" s="106"/>
      <c r="G16" s="106"/>
      <c r="H16" s="106"/>
      <c r="I16" s="106"/>
      <c r="J16" s="106"/>
      <c r="K16" s="106"/>
      <c r="L16" s="106"/>
      <c r="M16" s="106">
        <v>852</v>
      </c>
      <c r="N16" s="109">
        <v>852</v>
      </c>
      <c r="O16" s="106">
        <v>0</v>
      </c>
      <c r="P16" s="106">
        <v>0</v>
      </c>
      <c r="Q16" s="106"/>
      <c r="R16" s="106"/>
      <c r="S16" s="106">
        <v>852</v>
      </c>
      <c r="T16" s="107">
        <v>852</v>
      </c>
      <c r="U16" s="16">
        <f t="shared" si="1"/>
        <v>357</v>
      </c>
    </row>
    <row r="17" spans="1:21">
      <c r="A17" s="56">
        <v>11</v>
      </c>
      <c r="B17" s="108" t="s">
        <v>248</v>
      </c>
      <c r="C17" s="13" t="s">
        <v>239</v>
      </c>
      <c r="D17" s="14">
        <f t="shared" si="0"/>
        <v>220.8</v>
      </c>
      <c r="E17" s="106">
        <v>220.8</v>
      </c>
      <c r="F17" s="106"/>
      <c r="G17" s="106"/>
      <c r="H17" s="106"/>
      <c r="I17" s="106"/>
      <c r="J17" s="106"/>
      <c r="K17" s="106"/>
      <c r="L17" s="106"/>
      <c r="M17" s="106">
        <v>806</v>
      </c>
      <c r="N17" s="109">
        <v>806</v>
      </c>
      <c r="O17" s="106">
        <v>0</v>
      </c>
      <c r="P17" s="106">
        <v>0</v>
      </c>
      <c r="Q17" s="106"/>
      <c r="R17" s="106"/>
      <c r="S17" s="106">
        <v>806</v>
      </c>
      <c r="T17" s="107">
        <v>806</v>
      </c>
      <c r="U17" s="16">
        <f t="shared" si="1"/>
        <v>311</v>
      </c>
    </row>
    <row r="18" spans="1:21">
      <c r="A18" s="56">
        <v>12</v>
      </c>
      <c r="B18" s="108" t="s">
        <v>249</v>
      </c>
      <c r="C18" s="13" t="s">
        <v>239</v>
      </c>
      <c r="D18" s="14">
        <f t="shared" si="0"/>
        <v>215.07</v>
      </c>
      <c r="E18" s="106">
        <v>215.07</v>
      </c>
      <c r="F18" s="106"/>
      <c r="G18" s="106"/>
      <c r="H18" s="106"/>
      <c r="I18" s="106"/>
      <c r="J18" s="106"/>
      <c r="K18" s="106"/>
      <c r="L18" s="106"/>
      <c r="M18" s="106">
        <v>452</v>
      </c>
      <c r="N18" s="109">
        <v>452</v>
      </c>
      <c r="O18" s="106">
        <v>0</v>
      </c>
      <c r="P18" s="106">
        <v>0</v>
      </c>
      <c r="Q18" s="106"/>
      <c r="R18" s="106"/>
      <c r="S18" s="106">
        <v>452</v>
      </c>
      <c r="T18" s="107">
        <v>452</v>
      </c>
      <c r="U18" s="16">
        <f t="shared" si="1"/>
        <v>-43</v>
      </c>
    </row>
    <row r="19" spans="1:21">
      <c r="A19" s="56">
        <v>13</v>
      </c>
      <c r="B19" s="102" t="s">
        <v>250</v>
      </c>
      <c r="C19" s="103" t="s">
        <v>237</v>
      </c>
      <c r="D19" s="14">
        <f t="shared" si="0"/>
        <v>214.16</v>
      </c>
      <c r="E19" s="104">
        <v>214.16</v>
      </c>
      <c r="F19" s="106"/>
      <c r="G19" s="106"/>
      <c r="H19" s="106"/>
      <c r="I19" s="106"/>
      <c r="J19" s="106"/>
      <c r="K19" s="106"/>
      <c r="L19" s="106"/>
      <c r="M19" s="106">
        <v>811</v>
      </c>
      <c r="N19" s="109">
        <v>811</v>
      </c>
      <c r="O19" s="106">
        <v>0</v>
      </c>
      <c r="P19" s="106">
        <v>0</v>
      </c>
      <c r="Q19" s="106"/>
      <c r="R19" s="106"/>
      <c r="S19" s="106">
        <v>811</v>
      </c>
      <c r="T19" s="107">
        <v>811</v>
      </c>
      <c r="U19" s="16">
        <f t="shared" si="1"/>
        <v>316</v>
      </c>
    </row>
    <row r="20" spans="1:21">
      <c r="A20" s="56">
        <v>14</v>
      </c>
      <c r="B20" s="102" t="s">
        <v>251</v>
      </c>
      <c r="C20" s="103" t="s">
        <v>237</v>
      </c>
      <c r="D20" s="14">
        <f t="shared" si="0"/>
        <v>0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5">
        <v>0</v>
      </c>
      <c r="O20" s="104">
        <v>0</v>
      </c>
      <c r="P20" s="106">
        <v>0</v>
      </c>
      <c r="Q20" s="106"/>
      <c r="R20" s="106"/>
      <c r="S20" s="106"/>
      <c r="T20" s="107"/>
      <c r="U20" s="16">
        <f t="shared" si="1"/>
        <v>-495</v>
      </c>
    </row>
    <row r="21" spans="1:21">
      <c r="A21" s="56">
        <v>15</v>
      </c>
      <c r="B21" s="102" t="s">
        <v>252</v>
      </c>
      <c r="C21" s="103" t="s">
        <v>237</v>
      </c>
      <c r="D21" s="14">
        <f t="shared" si="0"/>
        <v>167.22</v>
      </c>
      <c r="E21" s="104">
        <v>167.22</v>
      </c>
      <c r="F21" s="104"/>
      <c r="G21" s="104"/>
      <c r="H21" s="104"/>
      <c r="I21" s="104"/>
      <c r="J21" s="104"/>
      <c r="K21" s="104"/>
      <c r="L21" s="104"/>
      <c r="M21" s="104">
        <v>462</v>
      </c>
      <c r="N21" s="109">
        <v>462</v>
      </c>
      <c r="O21" s="106">
        <v>0</v>
      </c>
      <c r="P21" s="106">
        <v>0</v>
      </c>
      <c r="Q21" s="106"/>
      <c r="R21" s="106"/>
      <c r="S21" s="106">
        <v>462</v>
      </c>
      <c r="T21" s="107">
        <v>462</v>
      </c>
      <c r="U21" s="16">
        <f t="shared" si="1"/>
        <v>-33</v>
      </c>
    </row>
    <row r="22" spans="1:21">
      <c r="A22" s="56">
        <v>16</v>
      </c>
      <c r="B22" s="108" t="s">
        <v>253</v>
      </c>
      <c r="C22" s="13" t="s">
        <v>239</v>
      </c>
      <c r="D22" s="14">
        <f t="shared" si="0"/>
        <v>277.58999999999992</v>
      </c>
      <c r="E22" s="106">
        <v>277.58999999999992</v>
      </c>
      <c r="F22" s="106"/>
      <c r="G22" s="106"/>
      <c r="H22" s="106"/>
      <c r="I22" s="106"/>
      <c r="J22" s="106"/>
      <c r="K22" s="106"/>
      <c r="L22" s="106"/>
      <c r="M22" s="106">
        <v>376</v>
      </c>
      <c r="N22" s="109">
        <v>376</v>
      </c>
      <c r="O22" s="106">
        <v>0</v>
      </c>
      <c r="P22" s="106">
        <v>0</v>
      </c>
      <c r="Q22" s="106"/>
      <c r="R22" s="106"/>
      <c r="S22" s="106">
        <v>376</v>
      </c>
      <c r="T22" s="107">
        <v>376</v>
      </c>
      <c r="U22" s="16">
        <f t="shared" si="1"/>
        <v>-119</v>
      </c>
    </row>
    <row r="23" spans="1:21">
      <c r="A23" s="56">
        <v>17</v>
      </c>
      <c r="B23" s="102" t="s">
        <v>254</v>
      </c>
      <c r="C23" s="103" t="s">
        <v>237</v>
      </c>
      <c r="D23" s="14">
        <f t="shared" si="0"/>
        <v>190</v>
      </c>
      <c r="E23" s="104">
        <v>190</v>
      </c>
      <c r="F23" s="104"/>
      <c r="G23" s="104"/>
      <c r="H23" s="104"/>
      <c r="I23" s="104"/>
      <c r="J23" s="104"/>
      <c r="K23" s="104"/>
      <c r="L23" s="104"/>
      <c r="M23" s="104">
        <v>369</v>
      </c>
      <c r="N23" s="109">
        <v>369</v>
      </c>
      <c r="O23" s="106">
        <v>0</v>
      </c>
      <c r="P23" s="106">
        <v>0</v>
      </c>
      <c r="Q23" s="106"/>
      <c r="R23" s="106"/>
      <c r="S23" s="106">
        <v>369</v>
      </c>
      <c r="T23" s="107">
        <v>369</v>
      </c>
      <c r="U23" s="16">
        <f t="shared" si="1"/>
        <v>-126</v>
      </c>
    </row>
    <row r="24" spans="1:21">
      <c r="A24" s="56">
        <v>18</v>
      </c>
      <c r="B24" s="108" t="s">
        <v>255</v>
      </c>
      <c r="C24" s="13" t="s">
        <v>239</v>
      </c>
      <c r="D24" s="14">
        <f t="shared" si="0"/>
        <v>659.27999999999986</v>
      </c>
      <c r="E24" s="106">
        <v>565.7399999999999</v>
      </c>
      <c r="F24" s="106"/>
      <c r="G24" s="106"/>
      <c r="H24" s="106">
        <v>93.54</v>
      </c>
      <c r="I24" s="106"/>
      <c r="J24" s="106"/>
      <c r="K24" s="106"/>
      <c r="L24" s="106"/>
      <c r="M24" s="106">
        <v>910</v>
      </c>
      <c r="N24" s="109">
        <v>910</v>
      </c>
      <c r="O24" s="106">
        <v>183</v>
      </c>
      <c r="P24" s="106">
        <v>0</v>
      </c>
      <c r="Q24" s="106"/>
      <c r="R24" s="106"/>
      <c r="S24" s="106">
        <v>1093</v>
      </c>
      <c r="T24" s="107">
        <v>1093</v>
      </c>
      <c r="U24" s="16">
        <f t="shared" si="1"/>
        <v>415</v>
      </c>
    </row>
    <row r="25" spans="1:21">
      <c r="A25" s="56">
        <v>19</v>
      </c>
      <c r="B25" s="108" t="s">
        <v>256</v>
      </c>
      <c r="C25" s="13" t="s">
        <v>239</v>
      </c>
      <c r="D25" s="14">
        <f t="shared" si="0"/>
        <v>612.49</v>
      </c>
      <c r="E25" s="106"/>
      <c r="F25" s="106"/>
      <c r="G25" s="106"/>
      <c r="H25" s="106">
        <v>612.49</v>
      </c>
      <c r="I25" s="106"/>
      <c r="J25" s="106"/>
      <c r="K25" s="106"/>
      <c r="L25" s="106"/>
      <c r="M25" s="106">
        <v>0</v>
      </c>
      <c r="N25" s="109">
        <v>0</v>
      </c>
      <c r="O25" s="106">
        <v>848</v>
      </c>
      <c r="P25" s="106">
        <v>0</v>
      </c>
      <c r="Q25" s="106"/>
      <c r="R25" s="106"/>
      <c r="S25" s="106">
        <v>848</v>
      </c>
      <c r="T25" s="107">
        <v>848</v>
      </c>
      <c r="U25" s="16">
        <f t="shared" si="1"/>
        <v>-495</v>
      </c>
    </row>
    <row r="26" spans="1:21">
      <c r="A26" s="56">
        <v>20</v>
      </c>
      <c r="B26" s="108" t="s">
        <v>257</v>
      </c>
      <c r="C26" s="13" t="s">
        <v>239</v>
      </c>
      <c r="D26" s="14">
        <f t="shared" si="0"/>
        <v>138.34</v>
      </c>
      <c r="E26" s="106">
        <v>138.34</v>
      </c>
      <c r="F26" s="106"/>
      <c r="G26" s="106"/>
      <c r="H26" s="106"/>
      <c r="I26" s="106"/>
      <c r="J26" s="106"/>
      <c r="K26" s="106"/>
      <c r="L26" s="106"/>
      <c r="M26" s="106">
        <v>358</v>
      </c>
      <c r="N26" s="109">
        <v>358</v>
      </c>
      <c r="O26" s="106">
        <v>1247</v>
      </c>
      <c r="P26" s="106">
        <v>0</v>
      </c>
      <c r="Q26" s="106"/>
      <c r="R26" s="106"/>
      <c r="S26" s="106">
        <v>1605</v>
      </c>
      <c r="T26" s="107">
        <v>1605</v>
      </c>
      <c r="U26" s="16">
        <f t="shared" si="1"/>
        <v>-137</v>
      </c>
    </row>
    <row r="27" spans="1:21">
      <c r="A27" s="56">
        <v>21</v>
      </c>
      <c r="B27" s="108" t="s">
        <v>258</v>
      </c>
      <c r="C27" s="13" t="s">
        <v>239</v>
      </c>
      <c r="D27" s="14">
        <f t="shared" si="0"/>
        <v>465.81</v>
      </c>
      <c r="E27" s="106"/>
      <c r="F27" s="106"/>
      <c r="G27" s="106"/>
      <c r="H27" s="106">
        <v>465.81</v>
      </c>
      <c r="I27" s="106"/>
      <c r="J27" s="106"/>
      <c r="K27" s="106"/>
      <c r="L27" s="106"/>
      <c r="M27" s="106">
        <v>0</v>
      </c>
      <c r="N27" s="109">
        <v>0</v>
      </c>
      <c r="O27" s="106">
        <v>0</v>
      </c>
      <c r="P27" s="106">
        <v>0</v>
      </c>
      <c r="Q27" s="106"/>
      <c r="R27" s="106"/>
      <c r="S27" s="106"/>
      <c r="T27" s="107">
        <v>0</v>
      </c>
      <c r="U27" s="16">
        <f t="shared" si="1"/>
        <v>-495</v>
      </c>
    </row>
    <row r="28" spans="1:21">
      <c r="A28" s="56">
        <v>22</v>
      </c>
      <c r="B28" s="108" t="s">
        <v>259</v>
      </c>
      <c r="C28" s="13" t="s">
        <v>239</v>
      </c>
      <c r="D28" s="14">
        <f t="shared" si="0"/>
        <v>579.07000000000005</v>
      </c>
      <c r="E28" s="106">
        <v>579.07000000000005</v>
      </c>
      <c r="F28" s="106"/>
      <c r="G28" s="106"/>
      <c r="H28" s="106"/>
      <c r="I28" s="106"/>
      <c r="J28" s="106"/>
      <c r="K28" s="106"/>
      <c r="L28" s="106"/>
      <c r="M28" s="106">
        <v>1041</v>
      </c>
      <c r="N28" s="109">
        <v>1041</v>
      </c>
      <c r="O28" s="106">
        <v>0</v>
      </c>
      <c r="P28" s="106">
        <v>0</v>
      </c>
      <c r="Q28" s="106"/>
      <c r="R28" s="106"/>
      <c r="S28" s="106">
        <v>1041</v>
      </c>
      <c r="T28" s="107">
        <v>1041</v>
      </c>
      <c r="U28" s="16">
        <f t="shared" si="1"/>
        <v>546</v>
      </c>
    </row>
    <row r="29" spans="1:21">
      <c r="A29" s="56">
        <v>23</v>
      </c>
      <c r="B29" s="108" t="s">
        <v>260</v>
      </c>
      <c r="C29" s="13" t="s">
        <v>239</v>
      </c>
      <c r="D29" s="14">
        <f t="shared" si="0"/>
        <v>667.66000000000008</v>
      </c>
      <c r="E29" s="106">
        <v>667.66000000000008</v>
      </c>
      <c r="F29" s="106"/>
      <c r="G29" s="106"/>
      <c r="H29" s="106"/>
      <c r="I29" s="106"/>
      <c r="J29" s="106"/>
      <c r="K29" s="106"/>
      <c r="L29" s="106"/>
      <c r="M29" s="106">
        <v>788</v>
      </c>
      <c r="N29" s="109">
        <v>788</v>
      </c>
      <c r="O29" s="106">
        <v>0</v>
      </c>
      <c r="P29" s="106">
        <v>0</v>
      </c>
      <c r="Q29" s="106"/>
      <c r="R29" s="106"/>
      <c r="S29" s="106">
        <v>788</v>
      </c>
      <c r="T29" s="107">
        <v>788</v>
      </c>
      <c r="U29" s="16">
        <f t="shared" si="1"/>
        <v>293</v>
      </c>
    </row>
    <row r="30" spans="1:21">
      <c r="A30" s="56">
        <v>24</v>
      </c>
      <c r="B30" s="108" t="s">
        <v>261</v>
      </c>
      <c r="C30" s="13" t="s">
        <v>239</v>
      </c>
      <c r="D30" s="14">
        <f t="shared" si="0"/>
        <v>667.08</v>
      </c>
      <c r="E30" s="106">
        <v>653.08000000000004</v>
      </c>
      <c r="F30" s="106"/>
      <c r="G30" s="106"/>
      <c r="H30" s="106">
        <v>14</v>
      </c>
      <c r="I30" s="106"/>
      <c r="J30" s="106"/>
      <c r="K30" s="106"/>
      <c r="L30" s="106"/>
      <c r="M30" s="106">
        <v>1110</v>
      </c>
      <c r="N30" s="109">
        <v>1110</v>
      </c>
      <c r="O30" s="106">
        <v>50</v>
      </c>
      <c r="P30" s="106">
        <v>0</v>
      </c>
      <c r="Q30" s="106"/>
      <c r="R30" s="106"/>
      <c r="S30" s="106">
        <v>1160</v>
      </c>
      <c r="T30" s="107">
        <v>1160</v>
      </c>
      <c r="U30" s="16">
        <f t="shared" si="1"/>
        <v>615</v>
      </c>
    </row>
    <row r="31" spans="1:21">
      <c r="A31" s="56">
        <v>25</v>
      </c>
      <c r="B31" s="108" t="s">
        <v>262</v>
      </c>
      <c r="C31" s="13" t="s">
        <v>239</v>
      </c>
      <c r="D31" s="14">
        <f t="shared" si="0"/>
        <v>464.24999999999994</v>
      </c>
      <c r="E31" s="106">
        <v>464.24999999999994</v>
      </c>
      <c r="F31" s="106"/>
      <c r="G31" s="106"/>
      <c r="H31" s="106"/>
      <c r="I31" s="106"/>
      <c r="J31" s="106"/>
      <c r="K31" s="106"/>
      <c r="L31" s="106"/>
      <c r="M31" s="106">
        <v>0</v>
      </c>
      <c r="N31" s="109">
        <v>0</v>
      </c>
      <c r="O31" s="106">
        <v>0</v>
      </c>
      <c r="P31" s="106">
        <v>0</v>
      </c>
      <c r="Q31" s="106"/>
      <c r="R31" s="106"/>
      <c r="S31" s="106"/>
      <c r="T31" s="107">
        <v>0</v>
      </c>
      <c r="U31" s="16">
        <f t="shared" si="1"/>
        <v>-495</v>
      </c>
    </row>
    <row r="32" spans="1:21">
      <c r="A32" s="56">
        <v>26</v>
      </c>
      <c r="B32" s="108" t="s">
        <v>263</v>
      </c>
      <c r="C32" s="13" t="s">
        <v>239</v>
      </c>
      <c r="D32" s="14">
        <f t="shared" si="0"/>
        <v>924.30000000000007</v>
      </c>
      <c r="E32" s="106">
        <v>924.30000000000007</v>
      </c>
      <c r="F32" s="106"/>
      <c r="G32" s="106"/>
      <c r="H32" s="106"/>
      <c r="I32" s="106"/>
      <c r="J32" s="106"/>
      <c r="K32" s="106"/>
      <c r="L32" s="106"/>
      <c r="M32" s="106">
        <v>2060</v>
      </c>
      <c r="N32" s="109">
        <v>2060</v>
      </c>
      <c r="O32" s="106">
        <v>0</v>
      </c>
      <c r="P32" s="106">
        <v>0</v>
      </c>
      <c r="Q32" s="106"/>
      <c r="R32" s="106"/>
      <c r="S32" s="106">
        <v>2060</v>
      </c>
      <c r="T32" s="107">
        <v>2060</v>
      </c>
      <c r="U32" s="16">
        <f t="shared" si="1"/>
        <v>1565</v>
      </c>
    </row>
    <row r="33" spans="1:21">
      <c r="A33" s="56">
        <v>27</v>
      </c>
      <c r="B33" s="108" t="s">
        <v>264</v>
      </c>
      <c r="C33" s="13" t="s">
        <v>239</v>
      </c>
      <c r="D33" s="14">
        <f t="shared" si="0"/>
        <v>593.93000000000006</v>
      </c>
      <c r="E33" s="106">
        <v>593.93000000000006</v>
      </c>
      <c r="F33" s="106"/>
      <c r="G33" s="106"/>
      <c r="H33" s="106"/>
      <c r="I33" s="106"/>
      <c r="J33" s="106"/>
      <c r="K33" s="106"/>
      <c r="L33" s="106"/>
      <c r="M33" s="106">
        <v>812</v>
      </c>
      <c r="N33" s="109">
        <v>812</v>
      </c>
      <c r="O33" s="106">
        <v>0</v>
      </c>
      <c r="P33" s="106">
        <v>0</v>
      </c>
      <c r="Q33" s="106"/>
      <c r="R33" s="106"/>
      <c r="S33" s="106">
        <v>812</v>
      </c>
      <c r="T33" s="107">
        <v>812</v>
      </c>
      <c r="U33" s="16">
        <f t="shared" si="1"/>
        <v>317</v>
      </c>
    </row>
    <row r="34" spans="1:21">
      <c r="A34" s="56">
        <v>28</v>
      </c>
      <c r="B34" s="102" t="s">
        <v>265</v>
      </c>
      <c r="C34" s="103" t="s">
        <v>237</v>
      </c>
      <c r="D34" s="14">
        <f t="shared" si="0"/>
        <v>220.62</v>
      </c>
      <c r="E34" s="104">
        <v>220.62</v>
      </c>
      <c r="F34" s="104"/>
      <c r="G34" s="104"/>
      <c r="H34" s="104"/>
      <c r="I34" s="104"/>
      <c r="J34" s="104"/>
      <c r="K34" s="104"/>
      <c r="L34" s="104"/>
      <c r="M34" s="104">
        <v>319</v>
      </c>
      <c r="N34" s="105">
        <v>319</v>
      </c>
      <c r="O34" s="104">
        <v>0</v>
      </c>
      <c r="P34" s="106">
        <v>0</v>
      </c>
      <c r="Q34" s="106"/>
      <c r="R34" s="106"/>
      <c r="S34" s="106">
        <v>319</v>
      </c>
      <c r="T34" s="107">
        <v>319</v>
      </c>
      <c r="U34" s="16">
        <f t="shared" si="1"/>
        <v>-176</v>
      </c>
    </row>
    <row r="35" spans="1:21">
      <c r="A35" s="56">
        <v>29</v>
      </c>
      <c r="B35" s="102" t="s">
        <v>266</v>
      </c>
      <c r="C35" s="103" t="s">
        <v>237</v>
      </c>
      <c r="D35" s="14">
        <f t="shared" si="0"/>
        <v>221.94</v>
      </c>
      <c r="E35" s="104">
        <v>221.94</v>
      </c>
      <c r="F35" s="104"/>
      <c r="G35" s="104"/>
      <c r="H35" s="104"/>
      <c r="I35" s="104"/>
      <c r="J35" s="104"/>
      <c r="K35" s="104"/>
      <c r="L35" s="104"/>
      <c r="M35" s="104">
        <v>1093</v>
      </c>
      <c r="N35" s="105">
        <v>1093</v>
      </c>
      <c r="O35" s="104">
        <v>0</v>
      </c>
      <c r="P35" s="106">
        <v>0</v>
      </c>
      <c r="Q35" s="106"/>
      <c r="R35" s="106"/>
      <c r="S35" s="106">
        <v>1093</v>
      </c>
      <c r="T35" s="107">
        <v>1093</v>
      </c>
      <c r="U35" s="16">
        <f t="shared" si="1"/>
        <v>598</v>
      </c>
    </row>
    <row r="36" spans="1:21">
      <c r="A36" s="56">
        <v>30</v>
      </c>
      <c r="B36" s="108" t="s">
        <v>267</v>
      </c>
      <c r="C36" s="13" t="s">
        <v>239</v>
      </c>
      <c r="D36" s="14">
        <f t="shared" si="0"/>
        <v>375.29</v>
      </c>
      <c r="E36" s="106">
        <v>375.29</v>
      </c>
      <c r="F36" s="106"/>
      <c r="G36" s="106"/>
      <c r="H36" s="106"/>
      <c r="I36" s="106"/>
      <c r="J36" s="106"/>
      <c r="K36" s="106"/>
      <c r="L36" s="106"/>
      <c r="M36" s="106">
        <v>386</v>
      </c>
      <c r="N36" s="109">
        <v>386</v>
      </c>
      <c r="O36" s="106">
        <v>0</v>
      </c>
      <c r="P36" s="106">
        <v>0</v>
      </c>
      <c r="Q36" s="106"/>
      <c r="R36" s="106"/>
      <c r="S36" s="106">
        <v>386</v>
      </c>
      <c r="T36" s="107">
        <v>386</v>
      </c>
      <c r="U36" s="16">
        <f t="shared" si="1"/>
        <v>-109</v>
      </c>
    </row>
    <row r="37" spans="1:21">
      <c r="A37" s="56">
        <v>31</v>
      </c>
      <c r="B37" s="102" t="s">
        <v>268</v>
      </c>
      <c r="C37" s="103" t="s">
        <v>237</v>
      </c>
      <c r="D37" s="14">
        <f t="shared" si="0"/>
        <v>303.21999999999997</v>
      </c>
      <c r="E37" s="104">
        <v>303.21999999999997</v>
      </c>
      <c r="F37" s="104"/>
      <c r="G37" s="104"/>
      <c r="H37" s="104"/>
      <c r="I37" s="104"/>
      <c r="J37" s="104"/>
      <c r="K37" s="104"/>
      <c r="L37" s="104"/>
      <c r="M37" s="104">
        <v>441</v>
      </c>
      <c r="N37" s="105">
        <v>441</v>
      </c>
      <c r="O37" s="104">
        <v>0</v>
      </c>
      <c r="P37" s="106">
        <v>0</v>
      </c>
      <c r="Q37" s="106"/>
      <c r="R37" s="106"/>
      <c r="S37" s="106">
        <v>441</v>
      </c>
      <c r="T37" s="107">
        <v>441</v>
      </c>
      <c r="U37" s="16">
        <f t="shared" si="1"/>
        <v>-54</v>
      </c>
    </row>
    <row r="38" spans="1:21">
      <c r="A38" s="56">
        <v>32</v>
      </c>
      <c r="B38" s="108" t="s">
        <v>269</v>
      </c>
      <c r="C38" s="13" t="s">
        <v>237</v>
      </c>
      <c r="D38" s="14">
        <f t="shared" si="0"/>
        <v>501.59000000000003</v>
      </c>
      <c r="E38" s="106">
        <v>471.65000000000003</v>
      </c>
      <c r="F38" s="106"/>
      <c r="G38" s="106"/>
      <c r="H38" s="106">
        <v>29.94</v>
      </c>
      <c r="I38" s="106"/>
      <c r="J38" s="106"/>
      <c r="K38" s="106"/>
      <c r="L38" s="106"/>
      <c r="M38" s="106">
        <v>414</v>
      </c>
      <c r="N38" s="109">
        <v>414</v>
      </c>
      <c r="O38" s="106">
        <v>26</v>
      </c>
      <c r="P38" s="106">
        <v>0</v>
      </c>
      <c r="Q38" s="106"/>
      <c r="R38" s="106"/>
      <c r="S38" s="106">
        <v>440</v>
      </c>
      <c r="T38" s="107">
        <v>440</v>
      </c>
      <c r="U38" s="16">
        <f t="shared" si="1"/>
        <v>-81</v>
      </c>
    </row>
    <row r="39" spans="1:21">
      <c r="A39" s="56">
        <v>33</v>
      </c>
      <c r="B39" s="108" t="s">
        <v>270</v>
      </c>
      <c r="C39" s="13" t="s">
        <v>239</v>
      </c>
      <c r="D39" s="14">
        <f t="shared" si="0"/>
        <v>437.85000000000014</v>
      </c>
      <c r="E39" s="106">
        <v>346.88000000000011</v>
      </c>
      <c r="F39" s="106"/>
      <c r="G39" s="106"/>
      <c r="H39" s="106">
        <v>90.97</v>
      </c>
      <c r="I39" s="106"/>
      <c r="J39" s="106"/>
      <c r="K39" s="106"/>
      <c r="L39" s="106"/>
      <c r="M39" s="106">
        <v>354</v>
      </c>
      <c r="N39" s="109">
        <v>354</v>
      </c>
      <c r="O39" s="106">
        <v>86</v>
      </c>
      <c r="P39" s="106">
        <v>0</v>
      </c>
      <c r="Q39" s="106"/>
      <c r="R39" s="106"/>
      <c r="S39" s="106">
        <v>440</v>
      </c>
      <c r="T39" s="107">
        <v>440</v>
      </c>
      <c r="U39" s="16">
        <f t="shared" si="1"/>
        <v>-141</v>
      </c>
    </row>
    <row r="40" spans="1:21">
      <c r="A40" s="56">
        <v>34</v>
      </c>
      <c r="B40" s="108" t="s">
        <v>271</v>
      </c>
      <c r="C40" s="13" t="s">
        <v>239</v>
      </c>
      <c r="D40" s="14">
        <f t="shared" si="0"/>
        <v>393.95000000000005</v>
      </c>
      <c r="E40" s="106">
        <v>260.60000000000002</v>
      </c>
      <c r="F40" s="106"/>
      <c r="G40" s="106"/>
      <c r="H40" s="106">
        <v>133.35</v>
      </c>
      <c r="I40" s="106"/>
      <c r="J40" s="106"/>
      <c r="K40" s="106"/>
      <c r="L40" s="106"/>
      <c r="M40" s="106"/>
      <c r="N40" s="109">
        <v>0</v>
      </c>
      <c r="O40" s="106"/>
      <c r="P40" s="106">
        <v>0</v>
      </c>
      <c r="Q40" s="106"/>
      <c r="R40" s="106"/>
      <c r="S40" s="106"/>
      <c r="T40" s="107">
        <v>0</v>
      </c>
      <c r="U40" s="16">
        <f t="shared" si="1"/>
        <v>-495</v>
      </c>
    </row>
    <row r="41" spans="1:21">
      <c r="A41" s="56">
        <v>35</v>
      </c>
      <c r="B41" s="102" t="s">
        <v>272</v>
      </c>
      <c r="C41" s="103" t="s">
        <v>237</v>
      </c>
      <c r="D41" s="14">
        <f t="shared" si="0"/>
        <v>372.85</v>
      </c>
      <c r="E41" s="104">
        <v>372.85</v>
      </c>
      <c r="F41" s="104"/>
      <c r="G41" s="104"/>
      <c r="H41" s="104"/>
      <c r="I41" s="104"/>
      <c r="J41" s="104"/>
      <c r="K41" s="104"/>
      <c r="L41" s="104"/>
      <c r="M41" s="104">
        <v>443</v>
      </c>
      <c r="N41" s="105">
        <v>443</v>
      </c>
      <c r="O41" s="104">
        <v>0</v>
      </c>
      <c r="P41" s="106">
        <v>0</v>
      </c>
      <c r="Q41" s="106"/>
      <c r="R41" s="106"/>
      <c r="S41" s="106">
        <v>443</v>
      </c>
      <c r="T41" s="107">
        <v>443</v>
      </c>
      <c r="U41" s="16">
        <f t="shared" si="1"/>
        <v>-52</v>
      </c>
    </row>
    <row r="42" spans="1:21">
      <c r="A42" s="56">
        <v>36</v>
      </c>
      <c r="B42" s="102" t="s">
        <v>273</v>
      </c>
      <c r="C42" s="103" t="s">
        <v>237</v>
      </c>
      <c r="D42" s="14">
        <f t="shared" si="0"/>
        <v>639.51</v>
      </c>
      <c r="E42" s="104">
        <v>477.51000000000005</v>
      </c>
      <c r="F42" s="104"/>
      <c r="G42" s="104"/>
      <c r="H42" s="104">
        <v>162</v>
      </c>
      <c r="I42" s="104"/>
      <c r="J42" s="104"/>
      <c r="K42" s="104"/>
      <c r="L42" s="104"/>
      <c r="M42" s="104">
        <v>363</v>
      </c>
      <c r="N42" s="105">
        <v>363</v>
      </c>
      <c r="O42" s="104">
        <v>123</v>
      </c>
      <c r="P42" s="106">
        <v>0</v>
      </c>
      <c r="Q42" s="106"/>
      <c r="R42" s="106"/>
      <c r="S42" s="106">
        <v>486</v>
      </c>
      <c r="T42" s="107">
        <v>486</v>
      </c>
      <c r="U42" s="16">
        <f t="shared" si="1"/>
        <v>-132</v>
      </c>
    </row>
    <row r="43" spans="1:21">
      <c r="A43" s="56">
        <v>37</v>
      </c>
      <c r="B43" s="108" t="s">
        <v>274</v>
      </c>
      <c r="C43" s="13" t="s">
        <v>239</v>
      </c>
      <c r="D43" s="14">
        <f t="shared" si="0"/>
        <v>531.68000000000006</v>
      </c>
      <c r="E43" s="106">
        <v>531.68000000000006</v>
      </c>
      <c r="F43" s="106"/>
      <c r="G43" s="106"/>
      <c r="H43" s="106"/>
      <c r="I43" s="106"/>
      <c r="J43" s="106"/>
      <c r="K43" s="106"/>
      <c r="L43" s="106"/>
      <c r="M43" s="106">
        <v>605</v>
      </c>
      <c r="N43" s="109">
        <v>605</v>
      </c>
      <c r="O43" s="106">
        <v>0</v>
      </c>
      <c r="P43" s="106">
        <v>0</v>
      </c>
      <c r="Q43" s="106"/>
      <c r="R43" s="106"/>
      <c r="S43" s="106">
        <v>605</v>
      </c>
      <c r="T43" s="107">
        <v>605</v>
      </c>
      <c r="U43" s="16">
        <f t="shared" si="1"/>
        <v>110</v>
      </c>
    </row>
    <row r="44" spans="1:21">
      <c r="A44" s="56">
        <v>38</v>
      </c>
      <c r="B44" s="108" t="s">
        <v>275</v>
      </c>
      <c r="C44" s="13" t="s">
        <v>239</v>
      </c>
      <c r="D44" s="14">
        <f t="shared" si="0"/>
        <v>306.45999999999998</v>
      </c>
      <c r="E44" s="106"/>
      <c r="F44" s="106"/>
      <c r="G44" s="106"/>
      <c r="H44" s="106">
        <v>306.45999999999998</v>
      </c>
      <c r="I44" s="106"/>
      <c r="J44" s="106"/>
      <c r="K44" s="106"/>
      <c r="L44" s="106"/>
      <c r="M44" s="106">
        <v>0</v>
      </c>
      <c r="N44" s="109">
        <v>0</v>
      </c>
      <c r="O44" s="106">
        <v>3207</v>
      </c>
      <c r="P44" s="106">
        <v>0</v>
      </c>
      <c r="Q44" s="106"/>
      <c r="R44" s="106"/>
      <c r="S44" s="106">
        <v>3207</v>
      </c>
      <c r="T44" s="107">
        <v>3207</v>
      </c>
      <c r="U44" s="16">
        <f t="shared" si="1"/>
        <v>-495</v>
      </c>
    </row>
    <row r="45" spans="1:21">
      <c r="A45" s="56">
        <v>39</v>
      </c>
      <c r="B45" s="108" t="s">
        <v>276</v>
      </c>
      <c r="C45" s="13" t="s">
        <v>239</v>
      </c>
      <c r="D45" s="14">
        <f t="shared" si="0"/>
        <v>581.56000000000006</v>
      </c>
      <c r="E45" s="106"/>
      <c r="F45" s="106"/>
      <c r="G45" s="106"/>
      <c r="H45" s="106">
        <v>581.56000000000006</v>
      </c>
      <c r="I45" s="106"/>
      <c r="J45" s="106"/>
      <c r="K45" s="106"/>
      <c r="L45" s="106"/>
      <c r="M45" s="106">
        <v>0</v>
      </c>
      <c r="N45" s="109">
        <v>0</v>
      </c>
      <c r="O45" s="106">
        <v>4238</v>
      </c>
      <c r="P45" s="106">
        <v>0</v>
      </c>
      <c r="Q45" s="106"/>
      <c r="R45" s="106"/>
      <c r="S45" s="106">
        <v>4238</v>
      </c>
      <c r="T45" s="107">
        <v>4238</v>
      </c>
      <c r="U45" s="16">
        <f t="shared" si="1"/>
        <v>-495</v>
      </c>
    </row>
    <row r="46" spans="1:21">
      <c r="A46" s="56">
        <v>40</v>
      </c>
      <c r="B46" s="108" t="s">
        <v>277</v>
      </c>
      <c r="C46" s="13" t="s">
        <v>239</v>
      </c>
      <c r="D46" s="14">
        <f t="shared" si="0"/>
        <v>1454.6700000000003</v>
      </c>
      <c r="E46" s="106"/>
      <c r="F46" s="106"/>
      <c r="G46" s="106"/>
      <c r="H46" s="106">
        <v>1454.6700000000003</v>
      </c>
      <c r="I46" s="106"/>
      <c r="J46" s="106"/>
      <c r="K46" s="106"/>
      <c r="L46" s="106"/>
      <c r="M46" s="106">
        <v>0</v>
      </c>
      <c r="N46" s="109">
        <v>0</v>
      </c>
      <c r="O46" s="106"/>
      <c r="P46" s="106">
        <v>0</v>
      </c>
      <c r="Q46" s="106"/>
      <c r="R46" s="106"/>
      <c r="S46" s="106"/>
      <c r="T46" s="107">
        <v>0</v>
      </c>
      <c r="U46" s="16">
        <f t="shared" si="1"/>
        <v>-495</v>
      </c>
    </row>
    <row r="47" spans="1:21">
      <c r="A47" s="56">
        <v>41</v>
      </c>
      <c r="B47" s="108" t="s">
        <v>278</v>
      </c>
      <c r="C47" s="13" t="s">
        <v>239</v>
      </c>
      <c r="D47" s="14">
        <f t="shared" si="0"/>
        <v>155.31</v>
      </c>
      <c r="E47" s="106">
        <v>136.29</v>
      </c>
      <c r="F47" s="106"/>
      <c r="G47" s="106"/>
      <c r="H47" s="106">
        <v>19.02</v>
      </c>
      <c r="I47" s="106"/>
      <c r="J47" s="106"/>
      <c r="K47" s="106"/>
      <c r="L47" s="106"/>
      <c r="M47" s="106">
        <v>105</v>
      </c>
      <c r="N47" s="109">
        <v>105</v>
      </c>
      <c r="O47" s="106">
        <v>15</v>
      </c>
      <c r="P47" s="106">
        <v>0</v>
      </c>
      <c r="Q47" s="106"/>
      <c r="R47" s="106"/>
      <c r="S47" s="106">
        <v>120</v>
      </c>
      <c r="T47" s="107">
        <v>120</v>
      </c>
      <c r="U47" s="16">
        <f t="shared" si="1"/>
        <v>-390</v>
      </c>
    </row>
    <row r="48" spans="1:21">
      <c r="A48" s="56">
        <v>42</v>
      </c>
      <c r="B48" s="108" t="s">
        <v>279</v>
      </c>
      <c r="C48" s="13" t="s">
        <v>239</v>
      </c>
      <c r="D48" s="14">
        <f t="shared" si="0"/>
        <v>553.09</v>
      </c>
      <c r="E48" s="106">
        <v>553.09</v>
      </c>
      <c r="F48" s="106"/>
      <c r="G48" s="106"/>
      <c r="H48" s="106"/>
      <c r="I48" s="106"/>
      <c r="J48" s="106"/>
      <c r="K48" s="106"/>
      <c r="L48" s="106"/>
      <c r="M48" s="106">
        <v>402</v>
      </c>
      <c r="N48" s="109">
        <v>402</v>
      </c>
      <c r="O48" s="106">
        <v>0</v>
      </c>
      <c r="P48" s="106">
        <v>0</v>
      </c>
      <c r="Q48" s="106"/>
      <c r="R48" s="106"/>
      <c r="S48" s="106">
        <v>402</v>
      </c>
      <c r="T48" s="107">
        <v>402</v>
      </c>
      <c r="U48" s="16">
        <f t="shared" si="1"/>
        <v>-93</v>
      </c>
    </row>
    <row r="49" spans="1:21">
      <c r="A49" s="56">
        <v>43</v>
      </c>
      <c r="B49" s="108" t="s">
        <v>280</v>
      </c>
      <c r="C49" s="13" t="s">
        <v>239</v>
      </c>
      <c r="D49" s="14">
        <f t="shared" si="0"/>
        <v>101.1</v>
      </c>
      <c r="E49" s="106"/>
      <c r="F49" s="106"/>
      <c r="G49" s="106"/>
      <c r="H49" s="106">
        <v>101.1</v>
      </c>
      <c r="I49" s="106"/>
      <c r="J49" s="106"/>
      <c r="K49" s="106"/>
      <c r="L49" s="106"/>
      <c r="M49" s="106">
        <v>0</v>
      </c>
      <c r="N49" s="109"/>
      <c r="O49" s="106">
        <v>65</v>
      </c>
      <c r="P49" s="106">
        <v>0</v>
      </c>
      <c r="Q49" s="106"/>
      <c r="R49" s="106"/>
      <c r="S49" s="106">
        <v>65</v>
      </c>
      <c r="T49" s="107">
        <v>65</v>
      </c>
      <c r="U49" s="16">
        <f t="shared" si="1"/>
        <v>-495</v>
      </c>
    </row>
    <row r="50" spans="1:21">
      <c r="A50" s="56">
        <v>44</v>
      </c>
      <c r="B50" s="108" t="s">
        <v>281</v>
      </c>
      <c r="C50" s="13" t="s">
        <v>239</v>
      </c>
      <c r="D50" s="14">
        <f t="shared" si="0"/>
        <v>406.75</v>
      </c>
      <c r="E50" s="106">
        <v>406.75</v>
      </c>
      <c r="F50" s="106"/>
      <c r="G50" s="110"/>
      <c r="H50" s="106"/>
      <c r="I50" s="106"/>
      <c r="J50" s="106"/>
      <c r="K50" s="106"/>
      <c r="L50" s="106"/>
      <c r="M50" s="106">
        <v>0</v>
      </c>
      <c r="N50" s="109">
        <v>0</v>
      </c>
      <c r="O50" s="106"/>
      <c r="P50" s="106">
        <v>0</v>
      </c>
      <c r="Q50" s="106"/>
      <c r="R50" s="106"/>
      <c r="S50" s="106"/>
      <c r="T50" s="107">
        <v>0</v>
      </c>
      <c r="U50" s="16">
        <f t="shared" si="1"/>
        <v>-495</v>
      </c>
    </row>
    <row r="51" spans="1:21">
      <c r="A51" s="56">
        <v>45</v>
      </c>
      <c r="B51" s="108" t="s">
        <v>282</v>
      </c>
      <c r="C51" s="13" t="s">
        <v>239</v>
      </c>
      <c r="D51" s="14">
        <f t="shared" si="0"/>
        <v>381.78000000000009</v>
      </c>
      <c r="E51" s="106">
        <v>322.18000000000006</v>
      </c>
      <c r="F51" s="106"/>
      <c r="G51" s="106"/>
      <c r="H51" s="106">
        <v>59.6</v>
      </c>
      <c r="I51" s="106"/>
      <c r="J51" s="106"/>
      <c r="K51" s="106"/>
      <c r="L51" s="106"/>
      <c r="M51" s="106">
        <v>1140</v>
      </c>
      <c r="N51" s="109">
        <v>1140</v>
      </c>
      <c r="O51" s="106">
        <v>103</v>
      </c>
      <c r="P51" s="106">
        <v>0</v>
      </c>
      <c r="Q51" s="106"/>
      <c r="R51" s="106"/>
      <c r="S51" s="106">
        <v>1243</v>
      </c>
      <c r="T51" s="107">
        <v>1243</v>
      </c>
      <c r="U51" s="16">
        <f t="shared" si="1"/>
        <v>645</v>
      </c>
    </row>
    <row r="52" spans="1:21">
      <c r="A52" s="56">
        <v>46</v>
      </c>
      <c r="B52" s="108" t="s">
        <v>283</v>
      </c>
      <c r="C52" s="13" t="s">
        <v>239</v>
      </c>
      <c r="D52" s="14">
        <f t="shared" si="0"/>
        <v>418.53000000000003</v>
      </c>
      <c r="E52" s="106">
        <v>357.43</v>
      </c>
      <c r="F52" s="106"/>
      <c r="G52" s="106"/>
      <c r="H52" s="106">
        <v>61.1</v>
      </c>
      <c r="I52" s="106"/>
      <c r="J52" s="106"/>
      <c r="K52" s="106"/>
      <c r="L52" s="106"/>
      <c r="M52" s="106">
        <v>459</v>
      </c>
      <c r="N52" s="109">
        <v>459</v>
      </c>
      <c r="O52" s="106">
        <v>79</v>
      </c>
      <c r="P52" s="106">
        <v>0</v>
      </c>
      <c r="Q52" s="106"/>
      <c r="R52" s="106"/>
      <c r="S52" s="106">
        <v>538</v>
      </c>
      <c r="T52" s="107">
        <v>538</v>
      </c>
      <c r="U52" s="16">
        <f t="shared" si="1"/>
        <v>-36</v>
      </c>
    </row>
    <row r="53" spans="1:21">
      <c r="A53" s="56">
        <v>47</v>
      </c>
      <c r="B53" s="108" t="s">
        <v>284</v>
      </c>
      <c r="C53" s="13" t="s">
        <v>239</v>
      </c>
      <c r="D53" s="14">
        <f t="shared" si="0"/>
        <v>298.77</v>
      </c>
      <c r="E53" s="106">
        <v>298.77</v>
      </c>
      <c r="F53" s="106"/>
      <c r="G53" s="106"/>
      <c r="H53" s="106"/>
      <c r="I53" s="106"/>
      <c r="J53" s="106"/>
      <c r="K53" s="106"/>
      <c r="L53" s="106"/>
      <c r="M53" s="106">
        <v>642</v>
      </c>
      <c r="N53" s="109">
        <v>642</v>
      </c>
      <c r="O53" s="106">
        <v>0</v>
      </c>
      <c r="P53" s="106">
        <v>0</v>
      </c>
      <c r="Q53" s="106"/>
      <c r="R53" s="106"/>
      <c r="S53" s="106">
        <v>642</v>
      </c>
      <c r="T53" s="107">
        <v>642</v>
      </c>
      <c r="U53" s="16">
        <f t="shared" si="1"/>
        <v>147</v>
      </c>
    </row>
    <row r="54" spans="1:21">
      <c r="A54" s="56">
        <v>48</v>
      </c>
      <c r="B54" s="108" t="s">
        <v>285</v>
      </c>
      <c r="C54" s="13" t="s">
        <v>239</v>
      </c>
      <c r="D54" s="14">
        <f t="shared" si="0"/>
        <v>131.41999999999999</v>
      </c>
      <c r="E54" s="106">
        <v>131.41999999999999</v>
      </c>
      <c r="F54" s="106"/>
      <c r="G54" s="106"/>
      <c r="H54" s="106"/>
      <c r="I54" s="106"/>
      <c r="J54" s="106"/>
      <c r="K54" s="106"/>
      <c r="L54" s="106"/>
      <c r="M54" s="106">
        <v>10393</v>
      </c>
      <c r="N54" s="109">
        <v>10393</v>
      </c>
      <c r="O54" s="106">
        <v>0</v>
      </c>
      <c r="P54" s="106">
        <v>0</v>
      </c>
      <c r="Q54" s="106"/>
      <c r="R54" s="106"/>
      <c r="S54" s="106">
        <v>10393</v>
      </c>
      <c r="T54" s="107">
        <v>10393</v>
      </c>
      <c r="U54" s="16">
        <f t="shared" si="1"/>
        <v>9898</v>
      </c>
    </row>
    <row r="55" spans="1:21">
      <c r="A55" s="56">
        <v>49</v>
      </c>
      <c r="B55" s="102" t="s">
        <v>286</v>
      </c>
      <c r="C55" s="103" t="s">
        <v>237</v>
      </c>
      <c r="D55" s="14">
        <f t="shared" si="0"/>
        <v>118.69</v>
      </c>
      <c r="E55" s="104">
        <v>118.69</v>
      </c>
      <c r="F55" s="104"/>
      <c r="G55" s="104"/>
      <c r="H55" s="104"/>
      <c r="I55" s="104"/>
      <c r="J55" s="104"/>
      <c r="K55" s="104"/>
      <c r="L55" s="104"/>
      <c r="M55" s="104">
        <v>679</v>
      </c>
      <c r="N55" s="105">
        <v>679</v>
      </c>
      <c r="O55" s="104">
        <v>0</v>
      </c>
      <c r="P55" s="106">
        <v>0</v>
      </c>
      <c r="Q55" s="106"/>
      <c r="R55" s="106"/>
      <c r="S55" s="106">
        <v>679</v>
      </c>
      <c r="T55" s="107">
        <v>679</v>
      </c>
      <c r="U55" s="16">
        <f t="shared" si="1"/>
        <v>184</v>
      </c>
    </row>
    <row r="56" spans="1:21">
      <c r="A56" s="56">
        <v>50</v>
      </c>
      <c r="B56" s="108" t="s">
        <v>287</v>
      </c>
      <c r="C56" s="13" t="s">
        <v>239</v>
      </c>
      <c r="D56" s="14">
        <f t="shared" si="0"/>
        <v>389.05</v>
      </c>
      <c r="E56" s="106">
        <v>389.05</v>
      </c>
      <c r="F56" s="106"/>
      <c r="G56" s="106"/>
      <c r="H56" s="106"/>
      <c r="I56" s="106"/>
      <c r="J56" s="106"/>
      <c r="K56" s="106"/>
      <c r="L56" s="106"/>
      <c r="M56" s="106">
        <v>902</v>
      </c>
      <c r="N56" s="109">
        <v>902</v>
      </c>
      <c r="O56" s="106">
        <v>0</v>
      </c>
      <c r="P56" s="106">
        <v>0</v>
      </c>
      <c r="Q56" s="106"/>
      <c r="R56" s="106"/>
      <c r="S56" s="106">
        <v>902</v>
      </c>
      <c r="T56" s="107">
        <v>902</v>
      </c>
      <c r="U56" s="16">
        <f t="shared" si="1"/>
        <v>407</v>
      </c>
    </row>
    <row r="57" spans="1:21">
      <c r="A57" s="56">
        <v>51</v>
      </c>
      <c r="B57" s="111" t="s">
        <v>288</v>
      </c>
      <c r="C57" s="13" t="s">
        <v>239</v>
      </c>
      <c r="D57" s="14">
        <f t="shared" si="0"/>
        <v>295.27999999999997</v>
      </c>
      <c r="E57" s="106">
        <v>295.27999999999997</v>
      </c>
      <c r="F57" s="106"/>
      <c r="G57" s="106"/>
      <c r="H57" s="106"/>
      <c r="I57" s="106"/>
      <c r="J57" s="106"/>
      <c r="K57" s="106"/>
      <c r="L57" s="106"/>
      <c r="M57" s="106">
        <v>1164</v>
      </c>
      <c r="N57" s="109">
        <v>1164</v>
      </c>
      <c r="O57" s="106">
        <v>0</v>
      </c>
      <c r="P57" s="106"/>
      <c r="Q57" s="106"/>
      <c r="R57" s="106"/>
      <c r="S57" s="106">
        <v>1164</v>
      </c>
      <c r="T57" s="107">
        <v>1164</v>
      </c>
      <c r="U57" s="16">
        <f t="shared" si="1"/>
        <v>669</v>
      </c>
    </row>
    <row r="58" spans="1:21">
      <c r="A58" s="56">
        <v>52</v>
      </c>
      <c r="B58" s="108" t="s">
        <v>289</v>
      </c>
      <c r="C58" s="13" t="s">
        <v>239</v>
      </c>
      <c r="D58" s="14">
        <f t="shared" si="0"/>
        <v>109.7</v>
      </c>
      <c r="E58" s="106">
        <v>109.7</v>
      </c>
      <c r="F58" s="106"/>
      <c r="G58" s="106"/>
      <c r="H58" s="106"/>
      <c r="I58" s="106"/>
      <c r="J58" s="106"/>
      <c r="K58" s="106"/>
      <c r="L58" s="106"/>
      <c r="M58" s="106">
        <v>1205</v>
      </c>
      <c r="N58" s="109">
        <v>1205</v>
      </c>
      <c r="O58" s="106">
        <v>0</v>
      </c>
      <c r="P58" s="106">
        <v>0</v>
      </c>
      <c r="Q58" s="106"/>
      <c r="R58" s="106"/>
      <c r="S58" s="106">
        <v>1205</v>
      </c>
      <c r="T58" s="107">
        <v>1205</v>
      </c>
      <c r="U58" s="16">
        <f t="shared" si="1"/>
        <v>710</v>
      </c>
    </row>
    <row r="59" spans="1:21">
      <c r="A59" s="56">
        <v>53</v>
      </c>
      <c r="B59" s="108" t="s">
        <v>290</v>
      </c>
      <c r="C59" s="13" t="s">
        <v>239</v>
      </c>
      <c r="D59" s="14">
        <f t="shared" si="0"/>
        <v>1740.3500000000001</v>
      </c>
      <c r="E59" s="106">
        <v>1740.3500000000001</v>
      </c>
      <c r="F59" s="106"/>
      <c r="G59" s="106"/>
      <c r="H59" s="106"/>
      <c r="I59" s="106"/>
      <c r="J59" s="106"/>
      <c r="K59" s="106"/>
      <c r="L59" s="106"/>
      <c r="M59" s="106">
        <v>2468</v>
      </c>
      <c r="N59" s="109">
        <v>0</v>
      </c>
      <c r="O59" s="106"/>
      <c r="P59" s="106">
        <v>0</v>
      </c>
      <c r="Q59" s="106"/>
      <c r="R59" s="106"/>
      <c r="S59" s="106"/>
      <c r="T59" s="107">
        <v>0</v>
      </c>
      <c r="U59" s="16">
        <f t="shared" si="1"/>
        <v>1973</v>
      </c>
    </row>
    <row r="60" spans="1:21">
      <c r="A60" s="56">
        <v>54</v>
      </c>
      <c r="B60" s="108" t="s">
        <v>291</v>
      </c>
      <c r="C60" s="13" t="s">
        <v>239</v>
      </c>
      <c r="D60" s="14">
        <f t="shared" si="0"/>
        <v>1342.4199999999998</v>
      </c>
      <c r="E60" s="106">
        <v>1342.4199999999998</v>
      </c>
      <c r="F60" s="106"/>
      <c r="G60" s="106"/>
      <c r="H60" s="106"/>
      <c r="I60" s="106"/>
      <c r="J60" s="106"/>
      <c r="K60" s="106"/>
      <c r="L60" s="106"/>
      <c r="M60" s="106">
        <v>5967</v>
      </c>
      <c r="N60" s="109">
        <v>5967</v>
      </c>
      <c r="O60" s="106">
        <v>0</v>
      </c>
      <c r="P60" s="106">
        <v>0</v>
      </c>
      <c r="Q60" s="106"/>
      <c r="R60" s="106"/>
      <c r="S60" s="106">
        <v>5967</v>
      </c>
      <c r="T60" s="107">
        <v>5967</v>
      </c>
      <c r="U60" s="16">
        <f t="shared" si="1"/>
        <v>5472</v>
      </c>
    </row>
    <row r="61" spans="1:21">
      <c r="A61" s="56">
        <v>55</v>
      </c>
      <c r="B61" s="108" t="s">
        <v>292</v>
      </c>
      <c r="C61" s="13" t="s">
        <v>239</v>
      </c>
      <c r="D61" s="14">
        <f t="shared" si="0"/>
        <v>514</v>
      </c>
      <c r="E61" s="106">
        <v>514</v>
      </c>
      <c r="F61" s="106"/>
      <c r="G61" s="106"/>
      <c r="H61" s="106"/>
      <c r="I61" s="106"/>
      <c r="J61" s="106"/>
      <c r="K61" s="106"/>
      <c r="L61" s="106"/>
      <c r="M61" s="106">
        <v>2584.81</v>
      </c>
      <c r="N61" s="109">
        <v>2584.81</v>
      </c>
      <c r="O61" s="106">
        <v>89.19</v>
      </c>
      <c r="P61" s="106">
        <v>0</v>
      </c>
      <c r="Q61" s="106"/>
      <c r="R61" s="106"/>
      <c r="S61" s="106">
        <v>2674</v>
      </c>
      <c r="T61" s="107">
        <v>2674</v>
      </c>
      <c r="U61" s="16">
        <f t="shared" si="1"/>
        <v>2089.81</v>
      </c>
    </row>
    <row r="62" spans="1:21">
      <c r="A62" s="56">
        <v>56</v>
      </c>
      <c r="B62" s="108" t="s">
        <v>293</v>
      </c>
      <c r="C62" s="13" t="s">
        <v>239</v>
      </c>
      <c r="D62" s="14">
        <f t="shared" si="0"/>
        <v>438.56</v>
      </c>
      <c r="E62" s="106">
        <v>438.56</v>
      </c>
      <c r="F62" s="106"/>
      <c r="G62" s="106"/>
      <c r="H62" s="106"/>
      <c r="I62" s="106"/>
      <c r="J62" s="106"/>
      <c r="K62" s="106"/>
      <c r="L62" s="106"/>
      <c r="M62" s="106">
        <v>2261</v>
      </c>
      <c r="N62" s="109">
        <v>2261</v>
      </c>
      <c r="O62" s="106">
        <v>0</v>
      </c>
      <c r="P62" s="106">
        <v>0</v>
      </c>
      <c r="Q62" s="106"/>
      <c r="R62" s="106"/>
      <c r="S62" s="106">
        <v>2261</v>
      </c>
      <c r="T62" s="107">
        <v>2261</v>
      </c>
      <c r="U62" s="16">
        <f t="shared" si="1"/>
        <v>1766</v>
      </c>
    </row>
    <row r="63" spans="1:21">
      <c r="A63" s="56">
        <v>57</v>
      </c>
      <c r="B63" s="108" t="s">
        <v>294</v>
      </c>
      <c r="C63" s="13" t="s">
        <v>239</v>
      </c>
      <c r="D63" s="14">
        <f t="shared" si="0"/>
        <v>428.52000000000004</v>
      </c>
      <c r="E63" s="106">
        <v>428.52000000000004</v>
      </c>
      <c r="F63" s="106"/>
      <c r="G63" s="106"/>
      <c r="H63" s="106"/>
      <c r="I63" s="106"/>
      <c r="J63" s="106"/>
      <c r="K63" s="106"/>
      <c r="L63" s="106"/>
      <c r="M63" s="106">
        <v>10296</v>
      </c>
      <c r="N63" s="109">
        <v>10296</v>
      </c>
      <c r="O63" s="106">
        <v>0</v>
      </c>
      <c r="P63" s="106">
        <v>0</v>
      </c>
      <c r="Q63" s="106"/>
      <c r="R63" s="106"/>
      <c r="S63" s="106">
        <v>10296</v>
      </c>
      <c r="T63" s="107">
        <v>10296</v>
      </c>
      <c r="U63" s="16">
        <f t="shared" si="1"/>
        <v>9801</v>
      </c>
    </row>
    <row r="64" spans="1:21">
      <c r="A64" s="56">
        <v>58</v>
      </c>
      <c r="B64" s="108" t="s">
        <v>295</v>
      </c>
      <c r="C64" s="13" t="s">
        <v>239</v>
      </c>
      <c r="D64" s="14">
        <f t="shared" si="0"/>
        <v>514.43999999999994</v>
      </c>
      <c r="E64" s="106">
        <v>514.43999999999994</v>
      </c>
      <c r="F64" s="106"/>
      <c r="G64" s="106"/>
      <c r="H64" s="106"/>
      <c r="I64" s="106"/>
      <c r="J64" s="106"/>
      <c r="K64" s="106"/>
      <c r="L64" s="106"/>
      <c r="M64" s="106">
        <v>0</v>
      </c>
      <c r="N64" s="109">
        <v>0</v>
      </c>
      <c r="O64" s="106">
        <v>0</v>
      </c>
      <c r="P64" s="106">
        <v>0</v>
      </c>
      <c r="Q64" s="106"/>
      <c r="R64" s="106"/>
      <c r="S64" s="106"/>
      <c r="T64" s="107">
        <v>0</v>
      </c>
      <c r="U64" s="16">
        <f t="shared" si="1"/>
        <v>-495</v>
      </c>
    </row>
    <row r="65" spans="1:21">
      <c r="A65" s="56">
        <v>59</v>
      </c>
      <c r="B65" s="108" t="s">
        <v>296</v>
      </c>
      <c r="C65" s="13" t="s">
        <v>239</v>
      </c>
      <c r="D65" s="14">
        <f t="shared" si="0"/>
        <v>275.08999999999997</v>
      </c>
      <c r="E65" s="106">
        <v>275.08999999999997</v>
      </c>
      <c r="F65" s="106"/>
      <c r="G65" s="106"/>
      <c r="H65" s="106"/>
      <c r="I65" s="106"/>
      <c r="J65" s="106"/>
      <c r="K65" s="106"/>
      <c r="L65" s="106"/>
      <c r="M65" s="106">
        <v>3218</v>
      </c>
      <c r="N65" s="109">
        <v>3218</v>
      </c>
      <c r="O65" s="106">
        <v>0</v>
      </c>
      <c r="P65" s="106">
        <v>0</v>
      </c>
      <c r="Q65" s="106"/>
      <c r="R65" s="106"/>
      <c r="S65" s="106">
        <v>3218</v>
      </c>
      <c r="T65" s="107">
        <v>3218</v>
      </c>
      <c r="U65" s="16">
        <f t="shared" si="1"/>
        <v>2723</v>
      </c>
    </row>
    <row r="66" spans="1:21">
      <c r="A66" s="56">
        <v>60</v>
      </c>
      <c r="B66" s="108" t="s">
        <v>297</v>
      </c>
      <c r="C66" s="13" t="s">
        <v>239</v>
      </c>
      <c r="D66" s="14">
        <f t="shared" si="0"/>
        <v>199.53</v>
      </c>
      <c r="E66" s="106">
        <v>199.53</v>
      </c>
      <c r="F66" s="106"/>
      <c r="G66" s="106"/>
      <c r="H66" s="106"/>
      <c r="I66" s="106"/>
      <c r="J66" s="106"/>
      <c r="K66" s="106"/>
      <c r="L66" s="106"/>
      <c r="M66" s="106">
        <v>4247</v>
      </c>
      <c r="N66" s="109">
        <v>4247</v>
      </c>
      <c r="O66" s="106">
        <v>0</v>
      </c>
      <c r="P66" s="106">
        <v>0</v>
      </c>
      <c r="Q66" s="106"/>
      <c r="R66" s="106"/>
      <c r="S66" s="106">
        <v>4247</v>
      </c>
      <c r="T66" s="107">
        <v>4247</v>
      </c>
      <c r="U66" s="16">
        <f t="shared" si="1"/>
        <v>3752</v>
      </c>
    </row>
    <row r="67" spans="1:21">
      <c r="A67" s="56">
        <v>61</v>
      </c>
      <c r="B67" s="108" t="s">
        <v>298</v>
      </c>
      <c r="C67" s="13" t="s">
        <v>239</v>
      </c>
      <c r="D67" s="14">
        <f t="shared" si="0"/>
        <v>138.72</v>
      </c>
      <c r="E67" s="106">
        <v>138.72</v>
      </c>
      <c r="F67" s="106"/>
      <c r="G67" s="106"/>
      <c r="H67" s="106"/>
      <c r="I67" s="106"/>
      <c r="J67" s="106"/>
      <c r="K67" s="106"/>
      <c r="L67" s="106"/>
      <c r="M67" s="106">
        <v>0</v>
      </c>
      <c r="N67" s="109">
        <v>0</v>
      </c>
      <c r="O67" s="106">
        <v>0</v>
      </c>
      <c r="P67" s="106">
        <v>0</v>
      </c>
      <c r="Q67" s="106"/>
      <c r="R67" s="106"/>
      <c r="S67" s="106"/>
      <c r="T67" s="107">
        <v>0</v>
      </c>
      <c r="U67" s="16">
        <f t="shared" si="1"/>
        <v>-495</v>
      </c>
    </row>
    <row r="68" spans="1:21">
      <c r="A68" s="56">
        <v>62</v>
      </c>
      <c r="B68" s="102" t="s">
        <v>299</v>
      </c>
      <c r="C68" s="103" t="s">
        <v>237</v>
      </c>
      <c r="D68" s="14">
        <f t="shared" si="0"/>
        <v>336.95</v>
      </c>
      <c r="E68" s="104">
        <v>336.95</v>
      </c>
      <c r="F68" s="104"/>
      <c r="G68" s="104"/>
      <c r="H68" s="104"/>
      <c r="I68" s="104"/>
      <c r="J68" s="104"/>
      <c r="K68" s="104"/>
      <c r="L68" s="104"/>
      <c r="M68" s="104">
        <v>468</v>
      </c>
      <c r="N68" s="105">
        <v>468</v>
      </c>
      <c r="O68" s="104">
        <v>0</v>
      </c>
      <c r="P68" s="106">
        <v>0</v>
      </c>
      <c r="Q68" s="106"/>
      <c r="R68" s="106"/>
      <c r="S68" s="106">
        <v>468</v>
      </c>
      <c r="T68" s="107">
        <v>468</v>
      </c>
      <c r="U68" s="16">
        <f t="shared" si="1"/>
        <v>-27</v>
      </c>
    </row>
    <row r="69" spans="1:21">
      <c r="A69" s="56">
        <v>63</v>
      </c>
      <c r="B69" s="108" t="s">
        <v>300</v>
      </c>
      <c r="C69" s="13" t="s">
        <v>239</v>
      </c>
      <c r="D69" s="14">
        <f t="shared" si="0"/>
        <v>579.2299999999999</v>
      </c>
      <c r="E69" s="106">
        <v>579.2299999999999</v>
      </c>
      <c r="F69" s="106"/>
      <c r="G69" s="106"/>
      <c r="H69" s="106"/>
      <c r="I69" s="106"/>
      <c r="J69" s="106"/>
      <c r="K69" s="106"/>
      <c r="L69" s="106"/>
      <c r="M69" s="106">
        <v>664</v>
      </c>
      <c r="N69" s="109">
        <v>664</v>
      </c>
      <c r="O69" s="106">
        <v>0</v>
      </c>
      <c r="P69" s="106">
        <v>0</v>
      </c>
      <c r="Q69" s="106"/>
      <c r="R69" s="106"/>
      <c r="S69" s="106">
        <v>664</v>
      </c>
      <c r="T69" s="107">
        <v>664</v>
      </c>
      <c r="U69" s="16">
        <f t="shared" si="1"/>
        <v>169</v>
      </c>
    </row>
    <row r="70" spans="1:21">
      <c r="A70" s="56">
        <v>64</v>
      </c>
      <c r="B70" s="102" t="s">
        <v>301</v>
      </c>
      <c r="C70" s="103" t="s">
        <v>237</v>
      </c>
      <c r="D70" s="14">
        <f t="shared" si="0"/>
        <v>196.92000000000002</v>
      </c>
      <c r="E70" s="104">
        <v>196.92000000000002</v>
      </c>
      <c r="F70" s="104"/>
      <c r="G70" s="104"/>
      <c r="H70" s="104"/>
      <c r="I70" s="104"/>
      <c r="J70" s="104"/>
      <c r="K70" s="104"/>
      <c r="L70" s="104"/>
      <c r="M70" s="104">
        <v>758</v>
      </c>
      <c r="N70" s="105">
        <v>758</v>
      </c>
      <c r="O70" s="104">
        <v>0</v>
      </c>
      <c r="P70" s="106">
        <v>0</v>
      </c>
      <c r="Q70" s="106"/>
      <c r="R70" s="106"/>
      <c r="S70" s="106">
        <v>758</v>
      </c>
      <c r="T70" s="107">
        <v>758</v>
      </c>
      <c r="U70" s="16">
        <f t="shared" si="1"/>
        <v>263</v>
      </c>
    </row>
    <row r="71" spans="1:21">
      <c r="A71" s="56">
        <v>65</v>
      </c>
      <c r="B71" s="108" t="s">
        <v>302</v>
      </c>
      <c r="C71" s="13" t="s">
        <v>239</v>
      </c>
      <c r="D71" s="14">
        <f t="shared" si="0"/>
        <v>438.09000000000003</v>
      </c>
      <c r="E71" s="106">
        <v>438.09000000000003</v>
      </c>
      <c r="F71" s="106"/>
      <c r="G71" s="110"/>
      <c r="H71" s="106"/>
      <c r="I71" s="106"/>
      <c r="J71" s="106"/>
      <c r="K71" s="106"/>
      <c r="L71" s="106"/>
      <c r="M71" s="106">
        <v>729.55</v>
      </c>
      <c r="N71" s="109">
        <v>729.55</v>
      </c>
      <c r="O71" s="106">
        <v>24.45</v>
      </c>
      <c r="P71" s="106">
        <v>0</v>
      </c>
      <c r="Q71" s="106"/>
      <c r="R71" s="106"/>
      <c r="S71" s="106">
        <v>754</v>
      </c>
      <c r="T71" s="107">
        <v>754</v>
      </c>
      <c r="U71" s="16">
        <f t="shared" si="1"/>
        <v>234.54999999999995</v>
      </c>
    </row>
    <row r="72" spans="1:21">
      <c r="A72" s="56">
        <v>66</v>
      </c>
      <c r="B72" s="108" t="s">
        <v>303</v>
      </c>
      <c r="C72" s="13" t="s">
        <v>239</v>
      </c>
      <c r="D72" s="14">
        <f t="shared" ref="D72:D135" si="2">H72+E72</f>
        <v>604.94000000000005</v>
      </c>
      <c r="E72" s="106">
        <v>604.94000000000005</v>
      </c>
      <c r="F72" s="106"/>
      <c r="G72" s="106"/>
      <c r="H72" s="106"/>
      <c r="I72" s="106"/>
      <c r="J72" s="106"/>
      <c r="K72" s="106"/>
      <c r="L72" s="106"/>
      <c r="M72" s="106">
        <v>998</v>
      </c>
      <c r="N72" s="109">
        <v>998</v>
      </c>
      <c r="O72" s="106">
        <v>0</v>
      </c>
      <c r="P72" s="106">
        <v>0</v>
      </c>
      <c r="Q72" s="106"/>
      <c r="R72" s="106"/>
      <c r="S72" s="106">
        <v>998</v>
      </c>
      <c r="T72" s="107">
        <v>998</v>
      </c>
      <c r="U72" s="16">
        <f t="shared" ref="U72:U135" si="3">M72-495</f>
        <v>503</v>
      </c>
    </row>
    <row r="73" spans="1:21">
      <c r="A73" s="56">
        <v>67</v>
      </c>
      <c r="B73" s="108" t="s">
        <v>304</v>
      </c>
      <c r="C73" s="13" t="s">
        <v>239</v>
      </c>
      <c r="D73" s="14">
        <f t="shared" si="2"/>
        <v>460.35000000000008</v>
      </c>
      <c r="E73" s="106">
        <v>460.35000000000008</v>
      </c>
      <c r="F73" s="106"/>
      <c r="G73" s="106"/>
      <c r="H73" s="106"/>
      <c r="I73" s="106"/>
      <c r="J73" s="106"/>
      <c r="K73" s="106"/>
      <c r="L73" s="106"/>
      <c r="M73" s="106">
        <v>665</v>
      </c>
      <c r="N73" s="109">
        <v>665</v>
      </c>
      <c r="O73" s="106">
        <v>0</v>
      </c>
      <c r="P73" s="106">
        <v>0</v>
      </c>
      <c r="Q73" s="106"/>
      <c r="R73" s="106"/>
      <c r="S73" s="106">
        <v>665</v>
      </c>
      <c r="T73" s="107">
        <v>665</v>
      </c>
      <c r="U73" s="16">
        <f t="shared" si="3"/>
        <v>170</v>
      </c>
    </row>
    <row r="74" spans="1:21">
      <c r="A74" s="56">
        <v>68</v>
      </c>
      <c r="B74" s="108" t="s">
        <v>305</v>
      </c>
      <c r="C74" s="13" t="s">
        <v>239</v>
      </c>
      <c r="D74" s="14">
        <f t="shared" si="2"/>
        <v>319.42</v>
      </c>
      <c r="E74" s="106">
        <v>319.42</v>
      </c>
      <c r="F74" s="106"/>
      <c r="G74" s="106"/>
      <c r="H74" s="106"/>
      <c r="I74" s="106"/>
      <c r="J74" s="106"/>
      <c r="K74" s="106"/>
      <c r="L74" s="106"/>
      <c r="M74" s="106">
        <v>1495</v>
      </c>
      <c r="N74" s="109">
        <v>1495</v>
      </c>
      <c r="O74" s="106">
        <v>0</v>
      </c>
      <c r="P74" s="106">
        <v>0</v>
      </c>
      <c r="Q74" s="106"/>
      <c r="R74" s="106"/>
      <c r="S74" s="106">
        <v>1495</v>
      </c>
      <c r="T74" s="107">
        <v>1495</v>
      </c>
      <c r="U74" s="16">
        <f t="shared" si="3"/>
        <v>1000</v>
      </c>
    </row>
    <row r="75" spans="1:21">
      <c r="A75" s="56">
        <v>69</v>
      </c>
      <c r="B75" s="108" t="s">
        <v>306</v>
      </c>
      <c r="C75" s="13" t="s">
        <v>239</v>
      </c>
      <c r="D75" s="14">
        <f t="shared" si="2"/>
        <v>184.42</v>
      </c>
      <c r="E75" s="106">
        <v>184.42</v>
      </c>
      <c r="F75" s="106"/>
      <c r="G75" s="106"/>
      <c r="H75" s="106"/>
      <c r="I75" s="106"/>
      <c r="J75" s="106"/>
      <c r="K75" s="106"/>
      <c r="L75" s="106"/>
      <c r="M75" s="106">
        <v>1857</v>
      </c>
      <c r="N75" s="109">
        <v>1857</v>
      </c>
      <c r="O75" s="106">
        <v>0</v>
      </c>
      <c r="P75" s="106">
        <v>0</v>
      </c>
      <c r="Q75" s="106"/>
      <c r="R75" s="106"/>
      <c r="S75" s="106">
        <v>1857</v>
      </c>
      <c r="T75" s="107">
        <v>1857</v>
      </c>
      <c r="U75" s="16">
        <f t="shared" si="3"/>
        <v>1362</v>
      </c>
    </row>
    <row r="76" spans="1:21">
      <c r="A76" s="56">
        <v>70</v>
      </c>
      <c r="B76" s="108" t="s">
        <v>307</v>
      </c>
      <c r="C76" s="13" t="s">
        <v>239</v>
      </c>
      <c r="D76" s="14">
        <f t="shared" si="2"/>
        <v>264.68000000000006</v>
      </c>
      <c r="E76" s="106">
        <v>264.68000000000006</v>
      </c>
      <c r="F76" s="106"/>
      <c r="G76" s="106"/>
      <c r="H76" s="106"/>
      <c r="I76" s="106"/>
      <c r="J76" s="106"/>
      <c r="K76" s="106"/>
      <c r="L76" s="106"/>
      <c r="M76" s="106">
        <v>6956</v>
      </c>
      <c r="N76" s="109">
        <v>6956</v>
      </c>
      <c r="O76" s="106">
        <v>0</v>
      </c>
      <c r="P76" s="106">
        <v>0</v>
      </c>
      <c r="Q76" s="106"/>
      <c r="R76" s="106"/>
      <c r="S76" s="106">
        <v>6956</v>
      </c>
      <c r="T76" s="107">
        <v>6956</v>
      </c>
      <c r="U76" s="16">
        <f t="shared" si="3"/>
        <v>6461</v>
      </c>
    </row>
    <row r="77" spans="1:21">
      <c r="A77" s="56">
        <v>71</v>
      </c>
      <c r="B77" s="108" t="s">
        <v>308</v>
      </c>
      <c r="C77" s="13" t="s">
        <v>239</v>
      </c>
      <c r="D77" s="14">
        <f t="shared" si="2"/>
        <v>246.04</v>
      </c>
      <c r="E77" s="106">
        <v>246.04</v>
      </c>
      <c r="F77" s="106"/>
      <c r="G77" s="106"/>
      <c r="H77" s="106"/>
      <c r="I77" s="106"/>
      <c r="J77" s="106"/>
      <c r="K77" s="106"/>
      <c r="L77" s="106"/>
      <c r="M77" s="106">
        <v>0</v>
      </c>
      <c r="N77" s="109">
        <v>0</v>
      </c>
      <c r="O77" s="106">
        <v>0</v>
      </c>
      <c r="P77" s="106">
        <v>0</v>
      </c>
      <c r="Q77" s="106"/>
      <c r="R77" s="106"/>
      <c r="S77" s="106"/>
      <c r="T77" s="107">
        <v>0</v>
      </c>
      <c r="U77" s="16">
        <f t="shared" si="3"/>
        <v>-495</v>
      </c>
    </row>
    <row r="78" spans="1:21">
      <c r="A78" s="56">
        <v>72</v>
      </c>
      <c r="B78" s="108" t="s">
        <v>309</v>
      </c>
      <c r="C78" s="13" t="s">
        <v>239</v>
      </c>
      <c r="D78" s="14">
        <f t="shared" si="2"/>
        <v>275.72000000000003</v>
      </c>
      <c r="E78" s="106">
        <v>275.72000000000003</v>
      </c>
      <c r="F78" s="106"/>
      <c r="G78" s="106"/>
      <c r="H78" s="106"/>
      <c r="I78" s="106"/>
      <c r="J78" s="106"/>
      <c r="K78" s="106"/>
      <c r="L78" s="106"/>
      <c r="M78" s="106">
        <v>0</v>
      </c>
      <c r="N78" s="109">
        <v>0</v>
      </c>
      <c r="O78" s="106">
        <v>0</v>
      </c>
      <c r="P78" s="106">
        <v>0</v>
      </c>
      <c r="Q78" s="106"/>
      <c r="R78" s="106"/>
      <c r="S78" s="106"/>
      <c r="T78" s="107">
        <v>0</v>
      </c>
      <c r="U78" s="16">
        <f t="shared" si="3"/>
        <v>-495</v>
      </c>
    </row>
    <row r="79" spans="1:21">
      <c r="A79" s="56">
        <v>73</v>
      </c>
      <c r="B79" s="108" t="s">
        <v>310</v>
      </c>
      <c r="C79" s="13" t="s">
        <v>239</v>
      </c>
      <c r="D79" s="14">
        <f t="shared" si="2"/>
        <v>251.09</v>
      </c>
      <c r="E79" s="106">
        <v>251.09</v>
      </c>
      <c r="F79" s="106"/>
      <c r="G79" s="106"/>
      <c r="H79" s="106"/>
      <c r="I79" s="106"/>
      <c r="J79" s="106"/>
      <c r="K79" s="106"/>
      <c r="L79" s="106"/>
      <c r="M79" s="106">
        <v>0</v>
      </c>
      <c r="N79" s="109">
        <v>0</v>
      </c>
      <c r="O79" s="106">
        <v>0</v>
      </c>
      <c r="P79" s="106">
        <v>0</v>
      </c>
      <c r="Q79" s="106"/>
      <c r="R79" s="106"/>
      <c r="S79" s="106"/>
      <c r="T79" s="107">
        <v>0</v>
      </c>
      <c r="U79" s="16">
        <f t="shared" si="3"/>
        <v>-495</v>
      </c>
    </row>
    <row r="80" spans="1:21">
      <c r="A80" s="56">
        <v>74</v>
      </c>
      <c r="B80" s="108" t="s">
        <v>311</v>
      </c>
      <c r="C80" s="13" t="s">
        <v>239</v>
      </c>
      <c r="D80" s="14">
        <f t="shared" si="2"/>
        <v>466.22000000000008</v>
      </c>
      <c r="E80" s="106">
        <v>466.22000000000008</v>
      </c>
      <c r="F80" s="106"/>
      <c r="G80" s="106"/>
      <c r="H80" s="106"/>
      <c r="I80" s="106"/>
      <c r="J80" s="106"/>
      <c r="K80" s="106"/>
      <c r="L80" s="106"/>
      <c r="M80" s="106">
        <v>1185</v>
      </c>
      <c r="N80" s="109">
        <v>1185</v>
      </c>
      <c r="O80" s="106">
        <v>0</v>
      </c>
      <c r="P80" s="106">
        <v>0</v>
      </c>
      <c r="Q80" s="106"/>
      <c r="R80" s="106"/>
      <c r="S80" s="106">
        <v>1185</v>
      </c>
      <c r="T80" s="107">
        <v>1185</v>
      </c>
      <c r="U80" s="16">
        <f t="shared" si="3"/>
        <v>690</v>
      </c>
    </row>
    <row r="81" spans="1:21">
      <c r="A81" s="56">
        <v>75</v>
      </c>
      <c r="B81" s="108" t="s">
        <v>312</v>
      </c>
      <c r="C81" s="13" t="s">
        <v>239</v>
      </c>
      <c r="D81" s="14">
        <f t="shared" si="2"/>
        <v>280.78999999999996</v>
      </c>
      <c r="E81" s="106">
        <v>280.78999999999996</v>
      </c>
      <c r="F81" s="106"/>
      <c r="G81" s="106"/>
      <c r="H81" s="106"/>
      <c r="I81" s="106"/>
      <c r="J81" s="106"/>
      <c r="K81" s="106"/>
      <c r="L81" s="106"/>
      <c r="M81" s="106">
        <v>0</v>
      </c>
      <c r="N81" s="109">
        <v>0</v>
      </c>
      <c r="O81" s="106">
        <v>0</v>
      </c>
      <c r="P81" s="106">
        <v>0</v>
      </c>
      <c r="Q81" s="106"/>
      <c r="R81" s="106"/>
      <c r="S81" s="106"/>
      <c r="T81" s="107">
        <v>0</v>
      </c>
      <c r="U81" s="16">
        <f t="shared" si="3"/>
        <v>-495</v>
      </c>
    </row>
    <row r="82" spans="1:21">
      <c r="A82" s="56">
        <v>76</v>
      </c>
      <c r="B82" s="108" t="s">
        <v>313</v>
      </c>
      <c r="C82" s="13" t="s">
        <v>239</v>
      </c>
      <c r="D82" s="14">
        <f t="shared" si="2"/>
        <v>249.38</v>
      </c>
      <c r="E82" s="106">
        <v>249.38</v>
      </c>
      <c r="F82" s="106"/>
      <c r="G82" s="106"/>
      <c r="H82" s="106"/>
      <c r="I82" s="106"/>
      <c r="J82" s="106"/>
      <c r="K82" s="106"/>
      <c r="L82" s="106"/>
      <c r="M82" s="106">
        <v>0</v>
      </c>
      <c r="N82" s="109">
        <v>0</v>
      </c>
      <c r="O82" s="106">
        <v>0</v>
      </c>
      <c r="P82" s="106">
        <v>0</v>
      </c>
      <c r="Q82" s="106"/>
      <c r="R82" s="106"/>
      <c r="S82" s="106"/>
      <c r="T82" s="107">
        <v>0</v>
      </c>
      <c r="U82" s="16">
        <f t="shared" si="3"/>
        <v>-495</v>
      </c>
    </row>
    <row r="83" spans="1:21">
      <c r="A83" s="56">
        <v>77</v>
      </c>
      <c r="B83" s="108" t="s">
        <v>314</v>
      </c>
      <c r="C83" s="13" t="s">
        <v>239</v>
      </c>
      <c r="D83" s="14">
        <f t="shared" si="2"/>
        <v>277.04999999999995</v>
      </c>
      <c r="E83" s="106">
        <v>277.04999999999995</v>
      </c>
      <c r="F83" s="106"/>
      <c r="G83" s="106"/>
      <c r="H83" s="106"/>
      <c r="I83" s="106"/>
      <c r="J83" s="106"/>
      <c r="K83" s="106"/>
      <c r="L83" s="106"/>
      <c r="M83" s="106">
        <v>0</v>
      </c>
      <c r="N83" s="109">
        <v>0</v>
      </c>
      <c r="O83" s="106">
        <v>0</v>
      </c>
      <c r="P83" s="106">
        <v>0</v>
      </c>
      <c r="Q83" s="106"/>
      <c r="R83" s="106"/>
      <c r="S83" s="106"/>
      <c r="T83" s="107">
        <v>0</v>
      </c>
      <c r="U83" s="16">
        <f t="shared" si="3"/>
        <v>-495</v>
      </c>
    </row>
    <row r="84" spans="1:21">
      <c r="A84" s="56">
        <v>78</v>
      </c>
      <c r="B84" s="102" t="s">
        <v>315</v>
      </c>
      <c r="C84" s="103" t="s">
        <v>237</v>
      </c>
      <c r="D84" s="14">
        <f t="shared" si="2"/>
        <v>187.93</v>
      </c>
      <c r="E84" s="104">
        <v>187.93</v>
      </c>
      <c r="F84" s="104"/>
      <c r="G84" s="104"/>
      <c r="H84" s="104"/>
      <c r="I84" s="104"/>
      <c r="J84" s="104"/>
      <c r="K84" s="104"/>
      <c r="L84" s="104"/>
      <c r="M84" s="104">
        <v>528</v>
      </c>
      <c r="N84" s="105">
        <v>528</v>
      </c>
      <c r="O84" s="104">
        <v>0</v>
      </c>
      <c r="P84" s="106">
        <v>0</v>
      </c>
      <c r="Q84" s="106"/>
      <c r="R84" s="106"/>
      <c r="S84" s="106">
        <v>528</v>
      </c>
      <c r="T84" s="107">
        <v>528</v>
      </c>
      <c r="U84" s="16">
        <f t="shared" si="3"/>
        <v>33</v>
      </c>
    </row>
    <row r="85" spans="1:21">
      <c r="A85" s="56">
        <v>79</v>
      </c>
      <c r="B85" s="108" t="s">
        <v>316</v>
      </c>
      <c r="C85" s="13" t="s">
        <v>239</v>
      </c>
      <c r="D85" s="14">
        <f t="shared" si="2"/>
        <v>926.05</v>
      </c>
      <c r="E85" s="106"/>
      <c r="F85" s="106"/>
      <c r="G85" s="106"/>
      <c r="H85" s="106">
        <v>926.05</v>
      </c>
      <c r="I85" s="106"/>
      <c r="J85" s="106"/>
      <c r="K85" s="106"/>
      <c r="L85" s="106"/>
      <c r="M85" s="106">
        <v>0</v>
      </c>
      <c r="N85" s="109">
        <v>0</v>
      </c>
      <c r="O85" s="106">
        <v>2821</v>
      </c>
      <c r="P85" s="106">
        <v>0</v>
      </c>
      <c r="Q85" s="106"/>
      <c r="R85" s="106"/>
      <c r="S85" s="106">
        <v>2821</v>
      </c>
      <c r="T85" s="107">
        <v>2821</v>
      </c>
      <c r="U85" s="16">
        <f t="shared" si="3"/>
        <v>-495</v>
      </c>
    </row>
    <row r="86" spans="1:21">
      <c r="A86" s="56">
        <v>80</v>
      </c>
      <c r="B86" s="102" t="s">
        <v>317</v>
      </c>
      <c r="C86" s="103" t="s">
        <v>237</v>
      </c>
      <c r="D86" s="14">
        <f t="shared" si="2"/>
        <v>227.75</v>
      </c>
      <c r="E86" s="104">
        <v>227.75</v>
      </c>
      <c r="F86" s="104"/>
      <c r="G86" s="104"/>
      <c r="H86" s="104"/>
      <c r="I86" s="104"/>
      <c r="J86" s="104"/>
      <c r="K86" s="104"/>
      <c r="L86" s="104"/>
      <c r="M86" s="104">
        <v>848</v>
      </c>
      <c r="N86" s="105">
        <v>848</v>
      </c>
      <c r="O86" s="104">
        <v>0</v>
      </c>
      <c r="P86" s="106">
        <v>0</v>
      </c>
      <c r="Q86" s="106"/>
      <c r="R86" s="106"/>
      <c r="S86" s="106">
        <v>848</v>
      </c>
      <c r="T86" s="107">
        <v>848</v>
      </c>
      <c r="U86" s="16">
        <f t="shared" si="3"/>
        <v>353</v>
      </c>
    </row>
    <row r="87" spans="1:21">
      <c r="A87" s="56">
        <v>81</v>
      </c>
      <c r="B87" s="108" t="s">
        <v>318</v>
      </c>
      <c r="C87" s="13" t="s">
        <v>239</v>
      </c>
      <c r="D87" s="14">
        <f t="shared" si="2"/>
        <v>39.36</v>
      </c>
      <c r="E87" s="106">
        <v>39.36</v>
      </c>
      <c r="F87" s="106"/>
      <c r="G87" s="106"/>
      <c r="H87" s="106"/>
      <c r="I87" s="106"/>
      <c r="J87" s="106"/>
      <c r="K87" s="106"/>
      <c r="L87" s="106"/>
      <c r="M87" s="106">
        <v>1363</v>
      </c>
      <c r="N87" s="109">
        <v>1363</v>
      </c>
      <c r="O87" s="106">
        <v>0</v>
      </c>
      <c r="P87" s="106">
        <v>0</v>
      </c>
      <c r="Q87" s="106"/>
      <c r="R87" s="106"/>
      <c r="S87" s="106">
        <v>1363</v>
      </c>
      <c r="T87" s="107">
        <v>1363</v>
      </c>
      <c r="U87" s="16">
        <f t="shared" si="3"/>
        <v>868</v>
      </c>
    </row>
    <row r="88" spans="1:21">
      <c r="A88" s="56">
        <v>82</v>
      </c>
      <c r="B88" s="102" t="s">
        <v>319</v>
      </c>
      <c r="C88" s="103" t="s">
        <v>237</v>
      </c>
      <c r="D88" s="14">
        <f t="shared" si="2"/>
        <v>259.95</v>
      </c>
      <c r="E88" s="104">
        <v>259.95</v>
      </c>
      <c r="F88" s="104"/>
      <c r="G88" s="104"/>
      <c r="H88" s="104"/>
      <c r="I88" s="104"/>
      <c r="J88" s="104"/>
      <c r="K88" s="104"/>
      <c r="L88" s="104"/>
      <c r="M88" s="104">
        <v>1111</v>
      </c>
      <c r="N88" s="105">
        <v>1111</v>
      </c>
      <c r="O88" s="104">
        <v>0</v>
      </c>
      <c r="P88" s="106">
        <v>0</v>
      </c>
      <c r="Q88" s="106"/>
      <c r="R88" s="106"/>
      <c r="S88" s="106">
        <v>1111</v>
      </c>
      <c r="T88" s="107">
        <v>1111</v>
      </c>
      <c r="U88" s="16">
        <f t="shared" si="3"/>
        <v>616</v>
      </c>
    </row>
    <row r="89" spans="1:21">
      <c r="A89" s="56">
        <v>83</v>
      </c>
      <c r="B89" s="102" t="s">
        <v>320</v>
      </c>
      <c r="C89" s="103" t="s">
        <v>237</v>
      </c>
      <c r="D89" s="14">
        <f t="shared" si="2"/>
        <v>562.61</v>
      </c>
      <c r="E89" s="104">
        <v>562.61</v>
      </c>
      <c r="F89" s="104"/>
      <c r="G89" s="104"/>
      <c r="H89" s="104"/>
      <c r="I89" s="112"/>
      <c r="J89" s="112"/>
      <c r="K89" s="112"/>
      <c r="L89" s="112"/>
      <c r="M89" s="104">
        <v>0</v>
      </c>
      <c r="N89" s="109">
        <v>0</v>
      </c>
      <c r="O89" s="106">
        <v>0</v>
      </c>
      <c r="P89" s="106">
        <v>0</v>
      </c>
      <c r="Q89" s="106"/>
      <c r="R89" s="106"/>
      <c r="S89" s="106"/>
      <c r="T89" s="107">
        <v>0</v>
      </c>
      <c r="U89" s="16">
        <f t="shared" si="3"/>
        <v>-495</v>
      </c>
    </row>
    <row r="90" spans="1:21">
      <c r="A90" s="56">
        <v>84</v>
      </c>
      <c r="B90" s="108" t="s">
        <v>321</v>
      </c>
      <c r="C90" s="13" t="s">
        <v>239</v>
      </c>
      <c r="D90" s="14">
        <f t="shared" si="2"/>
        <v>403.66</v>
      </c>
      <c r="E90" s="106">
        <v>403.66</v>
      </c>
      <c r="F90" s="106"/>
      <c r="G90" s="106"/>
      <c r="H90" s="106"/>
      <c r="I90" s="106"/>
      <c r="J90" s="106"/>
      <c r="K90" s="106"/>
      <c r="L90" s="106"/>
      <c r="M90" s="106">
        <v>9766</v>
      </c>
      <c r="N90" s="109">
        <v>9766</v>
      </c>
      <c r="O90" s="106">
        <v>0</v>
      </c>
      <c r="P90" s="106">
        <v>0</v>
      </c>
      <c r="Q90" s="106"/>
      <c r="R90" s="106"/>
      <c r="S90" s="106">
        <v>9766</v>
      </c>
      <c r="T90" s="107">
        <v>9766</v>
      </c>
      <c r="U90" s="16">
        <f t="shared" si="3"/>
        <v>9271</v>
      </c>
    </row>
    <row r="91" spans="1:21">
      <c r="A91" s="56">
        <v>85</v>
      </c>
      <c r="B91" s="108" t="s">
        <v>322</v>
      </c>
      <c r="C91" s="13" t="s">
        <v>239</v>
      </c>
      <c r="D91" s="14">
        <f t="shared" si="2"/>
        <v>558.63</v>
      </c>
      <c r="E91" s="106">
        <v>558.63</v>
      </c>
      <c r="F91" s="106"/>
      <c r="G91" s="106"/>
      <c r="H91" s="106"/>
      <c r="I91" s="106"/>
      <c r="J91" s="106"/>
      <c r="K91" s="106"/>
      <c r="L91" s="106"/>
      <c r="M91" s="106">
        <v>2734</v>
      </c>
      <c r="N91" s="109">
        <v>2734</v>
      </c>
      <c r="O91" s="106">
        <v>0</v>
      </c>
      <c r="P91" s="106">
        <v>0</v>
      </c>
      <c r="Q91" s="106"/>
      <c r="R91" s="106"/>
      <c r="S91" s="106">
        <v>2734</v>
      </c>
      <c r="T91" s="107">
        <v>2734</v>
      </c>
      <c r="U91" s="16">
        <f t="shared" si="3"/>
        <v>2239</v>
      </c>
    </row>
    <row r="92" spans="1:21">
      <c r="A92" s="56">
        <v>86</v>
      </c>
      <c r="B92" s="108" t="s">
        <v>323</v>
      </c>
      <c r="C92" s="13" t="s">
        <v>239</v>
      </c>
      <c r="D92" s="14">
        <f t="shared" si="2"/>
        <v>333.67</v>
      </c>
      <c r="E92" s="106">
        <v>333.67</v>
      </c>
      <c r="F92" s="106"/>
      <c r="G92" s="106"/>
      <c r="H92" s="106"/>
      <c r="I92" s="106"/>
      <c r="J92" s="106"/>
      <c r="K92" s="106"/>
      <c r="L92" s="106"/>
      <c r="M92" s="106">
        <v>0</v>
      </c>
      <c r="N92" s="109">
        <v>0</v>
      </c>
      <c r="O92" s="106">
        <v>0</v>
      </c>
      <c r="P92" s="106">
        <v>0</v>
      </c>
      <c r="Q92" s="106"/>
      <c r="R92" s="106"/>
      <c r="S92" s="106"/>
      <c r="T92" s="107">
        <v>0</v>
      </c>
      <c r="U92" s="16">
        <f t="shared" si="3"/>
        <v>-495</v>
      </c>
    </row>
    <row r="93" spans="1:21">
      <c r="A93" s="56">
        <v>87</v>
      </c>
      <c r="B93" s="108" t="s">
        <v>324</v>
      </c>
      <c r="C93" s="13" t="s">
        <v>239</v>
      </c>
      <c r="D93" s="14">
        <f t="shared" si="2"/>
        <v>638.91999999999996</v>
      </c>
      <c r="E93" s="106">
        <v>638.91999999999996</v>
      </c>
      <c r="F93" s="106"/>
      <c r="G93" s="106"/>
      <c r="H93" s="106"/>
      <c r="I93" s="106"/>
      <c r="J93" s="106"/>
      <c r="K93" s="106"/>
      <c r="L93" s="106"/>
      <c r="M93" s="106">
        <v>0</v>
      </c>
      <c r="N93" s="109">
        <v>0</v>
      </c>
      <c r="O93" s="106">
        <v>0</v>
      </c>
      <c r="P93" s="106">
        <v>0</v>
      </c>
      <c r="Q93" s="106"/>
      <c r="R93" s="106"/>
      <c r="S93" s="106"/>
      <c r="T93" s="107">
        <v>0</v>
      </c>
      <c r="U93" s="16">
        <f t="shared" si="3"/>
        <v>-495</v>
      </c>
    </row>
    <row r="94" spans="1:21">
      <c r="A94" s="56">
        <v>88</v>
      </c>
      <c r="B94" s="102" t="s">
        <v>325</v>
      </c>
      <c r="C94" s="103" t="s">
        <v>237</v>
      </c>
      <c r="D94" s="14">
        <f t="shared" si="2"/>
        <v>336.98</v>
      </c>
      <c r="E94" s="104">
        <v>336.98</v>
      </c>
      <c r="F94" s="104"/>
      <c r="G94" s="104"/>
      <c r="H94" s="104"/>
      <c r="I94" s="104"/>
      <c r="J94" s="104"/>
      <c r="K94" s="104"/>
      <c r="L94" s="104"/>
      <c r="M94" s="104">
        <v>420</v>
      </c>
      <c r="N94" s="105">
        <v>420</v>
      </c>
      <c r="O94" s="104">
        <v>0</v>
      </c>
      <c r="P94" s="106">
        <v>0</v>
      </c>
      <c r="Q94" s="106"/>
      <c r="R94" s="106"/>
      <c r="S94" s="106">
        <v>420</v>
      </c>
      <c r="T94" s="107">
        <v>420</v>
      </c>
      <c r="U94" s="16">
        <f t="shared" si="3"/>
        <v>-75</v>
      </c>
    </row>
    <row r="95" spans="1:21">
      <c r="A95" s="56">
        <v>89</v>
      </c>
      <c r="B95" s="102" t="s">
        <v>326</v>
      </c>
      <c r="C95" s="103" t="s">
        <v>237</v>
      </c>
      <c r="D95" s="14">
        <f t="shared" si="2"/>
        <v>347.82000000000005</v>
      </c>
      <c r="E95" s="104">
        <v>347.82000000000005</v>
      </c>
      <c r="F95" s="104"/>
      <c r="G95" s="104"/>
      <c r="H95" s="104"/>
      <c r="I95" s="104"/>
      <c r="J95" s="104"/>
      <c r="K95" s="104"/>
      <c r="L95" s="104"/>
      <c r="M95" s="104">
        <v>718</v>
      </c>
      <c r="N95" s="105">
        <v>718</v>
      </c>
      <c r="O95" s="104">
        <v>0</v>
      </c>
      <c r="P95" s="106">
        <v>0</v>
      </c>
      <c r="Q95" s="106"/>
      <c r="R95" s="106"/>
      <c r="S95" s="106">
        <v>718</v>
      </c>
      <c r="T95" s="107">
        <v>718</v>
      </c>
      <c r="U95" s="16">
        <f t="shared" si="3"/>
        <v>223</v>
      </c>
    </row>
    <row r="96" spans="1:21">
      <c r="A96" s="56">
        <v>90</v>
      </c>
      <c r="B96" s="102" t="s">
        <v>327</v>
      </c>
      <c r="C96" s="103" t="s">
        <v>237</v>
      </c>
      <c r="D96" s="14">
        <f t="shared" si="2"/>
        <v>115.07000000000001</v>
      </c>
      <c r="E96" s="104">
        <v>115.07000000000001</v>
      </c>
      <c r="F96" s="104"/>
      <c r="G96" s="104"/>
      <c r="H96" s="104"/>
      <c r="I96" s="104"/>
      <c r="J96" s="104"/>
      <c r="K96" s="104"/>
      <c r="L96" s="104"/>
      <c r="M96" s="104">
        <v>253</v>
      </c>
      <c r="N96" s="105">
        <v>253</v>
      </c>
      <c r="O96" s="104">
        <v>0</v>
      </c>
      <c r="P96" s="106">
        <v>0</v>
      </c>
      <c r="Q96" s="106"/>
      <c r="R96" s="106"/>
      <c r="S96" s="106">
        <v>253</v>
      </c>
      <c r="T96" s="107">
        <v>253</v>
      </c>
      <c r="U96" s="16">
        <f t="shared" si="3"/>
        <v>-242</v>
      </c>
    </row>
    <row r="97" spans="1:21">
      <c r="A97" s="56">
        <v>91</v>
      </c>
      <c r="B97" s="108" t="s">
        <v>328</v>
      </c>
      <c r="C97" s="13" t="s">
        <v>239</v>
      </c>
      <c r="D97" s="14">
        <f t="shared" si="2"/>
        <v>230.94</v>
      </c>
      <c r="E97" s="106">
        <v>230.94</v>
      </c>
      <c r="F97" s="106"/>
      <c r="G97" s="106"/>
      <c r="H97" s="106"/>
      <c r="I97" s="106"/>
      <c r="J97" s="106"/>
      <c r="K97" s="106"/>
      <c r="L97" s="106"/>
      <c r="M97" s="106">
        <v>1246</v>
      </c>
      <c r="N97" s="109">
        <v>1246</v>
      </c>
      <c r="O97" s="106">
        <v>0</v>
      </c>
      <c r="P97" s="106">
        <v>0</v>
      </c>
      <c r="Q97" s="106"/>
      <c r="R97" s="106"/>
      <c r="S97" s="106">
        <v>1246</v>
      </c>
      <c r="T97" s="107">
        <v>1246</v>
      </c>
      <c r="U97" s="16">
        <f t="shared" si="3"/>
        <v>751</v>
      </c>
    </row>
    <row r="98" spans="1:21">
      <c r="A98" s="56">
        <v>92</v>
      </c>
      <c r="B98" s="108" t="s">
        <v>329</v>
      </c>
      <c r="C98" s="13" t="s">
        <v>239</v>
      </c>
      <c r="D98" s="14">
        <f t="shared" si="2"/>
        <v>235.52</v>
      </c>
      <c r="E98" s="106">
        <v>235.52</v>
      </c>
      <c r="F98" s="106"/>
      <c r="G98" s="106"/>
      <c r="H98" s="106"/>
      <c r="I98" s="106"/>
      <c r="J98" s="106"/>
      <c r="K98" s="106"/>
      <c r="L98" s="106"/>
      <c r="M98" s="106">
        <v>0</v>
      </c>
      <c r="N98" s="109">
        <v>0</v>
      </c>
      <c r="O98" s="106">
        <v>0</v>
      </c>
      <c r="P98" s="106">
        <v>0</v>
      </c>
      <c r="Q98" s="106"/>
      <c r="R98" s="106"/>
      <c r="S98" s="106"/>
      <c r="T98" s="107">
        <v>0</v>
      </c>
      <c r="U98" s="16">
        <f t="shared" si="3"/>
        <v>-495</v>
      </c>
    </row>
    <row r="99" spans="1:21">
      <c r="A99" s="56">
        <v>93</v>
      </c>
      <c r="B99" s="108" t="s">
        <v>330</v>
      </c>
      <c r="C99" s="13" t="s">
        <v>239</v>
      </c>
      <c r="D99" s="14">
        <f t="shared" si="2"/>
        <v>337.32</v>
      </c>
      <c r="E99" s="106">
        <v>337.32</v>
      </c>
      <c r="F99" s="106"/>
      <c r="G99" s="106"/>
      <c r="H99" s="106"/>
      <c r="I99" s="106"/>
      <c r="J99" s="106"/>
      <c r="K99" s="106"/>
      <c r="L99" s="106"/>
      <c r="M99" s="106">
        <v>683</v>
      </c>
      <c r="N99" s="109">
        <v>683</v>
      </c>
      <c r="O99" s="106">
        <v>0</v>
      </c>
      <c r="P99" s="106">
        <v>0</v>
      </c>
      <c r="Q99" s="106"/>
      <c r="R99" s="106"/>
      <c r="S99" s="106">
        <v>683</v>
      </c>
      <c r="T99" s="107">
        <v>683</v>
      </c>
      <c r="U99" s="16">
        <f t="shared" si="3"/>
        <v>188</v>
      </c>
    </row>
    <row r="100" spans="1:21">
      <c r="A100" s="56">
        <v>94</v>
      </c>
      <c r="B100" s="108" t="s">
        <v>331</v>
      </c>
      <c r="C100" s="13" t="s">
        <v>239</v>
      </c>
      <c r="D100" s="14">
        <f t="shared" si="2"/>
        <v>93.990000000000009</v>
      </c>
      <c r="E100" s="106">
        <v>93.990000000000009</v>
      </c>
      <c r="F100" s="106"/>
      <c r="G100" s="106"/>
      <c r="H100" s="106"/>
      <c r="I100" s="106"/>
      <c r="J100" s="106"/>
      <c r="K100" s="106"/>
      <c r="L100" s="106"/>
      <c r="M100" s="106">
        <v>1671</v>
      </c>
      <c r="N100" s="109">
        <v>1671</v>
      </c>
      <c r="O100" s="106">
        <v>0</v>
      </c>
      <c r="P100" s="106">
        <v>0</v>
      </c>
      <c r="Q100" s="106"/>
      <c r="R100" s="106"/>
      <c r="S100" s="106">
        <v>1671</v>
      </c>
      <c r="T100" s="107">
        <v>1671</v>
      </c>
      <c r="U100" s="16">
        <f t="shared" si="3"/>
        <v>1176</v>
      </c>
    </row>
    <row r="101" spans="1:21">
      <c r="A101" s="56">
        <v>95</v>
      </c>
      <c r="B101" s="108" t="s">
        <v>332</v>
      </c>
      <c r="C101" s="13" t="s">
        <v>239</v>
      </c>
      <c r="D101" s="14">
        <f t="shared" si="2"/>
        <v>817.92</v>
      </c>
      <c r="E101" s="106">
        <v>632.13</v>
      </c>
      <c r="F101" s="106"/>
      <c r="G101" s="106"/>
      <c r="H101" s="106">
        <v>185.78999999999996</v>
      </c>
      <c r="I101" s="106"/>
      <c r="J101" s="106"/>
      <c r="K101" s="106"/>
      <c r="L101" s="106"/>
      <c r="M101" s="106">
        <v>382</v>
      </c>
      <c r="N101" s="109">
        <v>382</v>
      </c>
      <c r="O101" s="106">
        <v>0</v>
      </c>
      <c r="P101" s="106">
        <v>0</v>
      </c>
      <c r="Q101" s="106"/>
      <c r="R101" s="106"/>
      <c r="S101" s="106">
        <v>382</v>
      </c>
      <c r="T101" s="107">
        <v>382</v>
      </c>
      <c r="U101" s="16">
        <f t="shared" si="3"/>
        <v>-113</v>
      </c>
    </row>
    <row r="102" spans="1:21">
      <c r="A102" s="56">
        <v>96</v>
      </c>
      <c r="B102" s="102" t="s">
        <v>333</v>
      </c>
      <c r="C102" s="103" t="s">
        <v>237</v>
      </c>
      <c r="D102" s="14">
        <f t="shared" si="2"/>
        <v>70.099999999999994</v>
      </c>
      <c r="E102" s="104">
        <v>70.099999999999994</v>
      </c>
      <c r="F102" s="104"/>
      <c r="G102" s="104"/>
      <c r="H102" s="104"/>
      <c r="I102" s="104"/>
      <c r="J102" s="104"/>
      <c r="K102" s="104"/>
      <c r="L102" s="104"/>
      <c r="M102" s="104">
        <v>406</v>
      </c>
      <c r="N102" s="105">
        <v>406</v>
      </c>
      <c r="O102" s="104">
        <v>0</v>
      </c>
      <c r="P102" s="106">
        <v>0</v>
      </c>
      <c r="Q102" s="106"/>
      <c r="R102" s="106"/>
      <c r="S102" s="106">
        <v>406</v>
      </c>
      <c r="T102" s="107">
        <v>406</v>
      </c>
      <c r="U102" s="16">
        <f t="shared" si="3"/>
        <v>-89</v>
      </c>
    </row>
    <row r="103" spans="1:21">
      <c r="A103" s="56">
        <v>97</v>
      </c>
      <c r="B103" s="108" t="s">
        <v>334</v>
      </c>
      <c r="C103" s="13" t="s">
        <v>239</v>
      </c>
      <c r="D103" s="14">
        <f t="shared" si="2"/>
        <v>478.73</v>
      </c>
      <c r="E103" s="106">
        <v>478.73</v>
      </c>
      <c r="F103" s="106"/>
      <c r="G103" s="106"/>
      <c r="H103" s="106"/>
      <c r="I103" s="106"/>
      <c r="J103" s="106"/>
      <c r="K103" s="106"/>
      <c r="L103" s="106"/>
      <c r="M103" s="106">
        <v>1111</v>
      </c>
      <c r="N103" s="109">
        <v>1111</v>
      </c>
      <c r="O103" s="106">
        <v>0</v>
      </c>
      <c r="P103" s="106">
        <v>0</v>
      </c>
      <c r="Q103" s="106"/>
      <c r="R103" s="106"/>
      <c r="S103" s="106">
        <v>1111</v>
      </c>
      <c r="T103" s="107">
        <v>1111</v>
      </c>
      <c r="U103" s="16">
        <f t="shared" si="3"/>
        <v>616</v>
      </c>
    </row>
    <row r="104" spans="1:21">
      <c r="A104" s="56">
        <v>98</v>
      </c>
      <c r="B104" s="102" t="s">
        <v>335</v>
      </c>
      <c r="C104" s="103" t="s">
        <v>237</v>
      </c>
      <c r="D104" s="14">
        <f t="shared" si="2"/>
        <v>266.95</v>
      </c>
      <c r="E104" s="104">
        <v>145.41999999999999</v>
      </c>
      <c r="F104" s="104"/>
      <c r="G104" s="104"/>
      <c r="H104" s="104">
        <v>121.53</v>
      </c>
      <c r="I104" s="104"/>
      <c r="J104" s="104"/>
      <c r="K104" s="104"/>
      <c r="L104" s="104"/>
      <c r="M104" s="104">
        <v>1502</v>
      </c>
      <c r="N104" s="105">
        <v>1502</v>
      </c>
      <c r="O104" s="104">
        <v>1223</v>
      </c>
      <c r="P104" s="106">
        <v>0</v>
      </c>
      <c r="Q104" s="106"/>
      <c r="R104" s="106"/>
      <c r="S104" s="106">
        <v>2725</v>
      </c>
      <c r="T104" s="107">
        <v>2725</v>
      </c>
      <c r="U104" s="16">
        <f t="shared" si="3"/>
        <v>1007</v>
      </c>
    </row>
    <row r="105" spans="1:21">
      <c r="A105" s="56">
        <v>99</v>
      </c>
      <c r="B105" s="108" t="s">
        <v>336</v>
      </c>
      <c r="C105" s="13" t="s">
        <v>239</v>
      </c>
      <c r="D105" s="14">
        <f t="shared" si="2"/>
        <v>792.12</v>
      </c>
      <c r="E105" s="106">
        <v>792.12</v>
      </c>
      <c r="F105" s="106"/>
      <c r="G105" s="106"/>
      <c r="H105" s="106"/>
      <c r="I105" s="106"/>
      <c r="J105" s="106"/>
      <c r="K105" s="106"/>
      <c r="L105" s="106"/>
      <c r="M105" s="106">
        <v>1489</v>
      </c>
      <c r="N105" s="109">
        <v>1489</v>
      </c>
      <c r="O105" s="106">
        <v>0</v>
      </c>
      <c r="P105" s="106">
        <v>0</v>
      </c>
      <c r="Q105" s="106"/>
      <c r="R105" s="106"/>
      <c r="S105" s="106">
        <v>1489</v>
      </c>
      <c r="T105" s="107">
        <v>1489</v>
      </c>
      <c r="U105" s="16">
        <f t="shared" si="3"/>
        <v>994</v>
      </c>
    </row>
    <row r="106" spans="1:21">
      <c r="A106" s="56">
        <v>100</v>
      </c>
      <c r="B106" s="102" t="s">
        <v>337</v>
      </c>
      <c r="C106" s="103" t="s">
        <v>237</v>
      </c>
      <c r="D106" s="14">
        <f t="shared" si="2"/>
        <v>434.59000000000003</v>
      </c>
      <c r="E106" s="104">
        <v>434.59000000000003</v>
      </c>
      <c r="F106" s="104"/>
      <c r="G106" s="104"/>
      <c r="H106" s="104"/>
      <c r="I106" s="104"/>
      <c r="J106" s="104"/>
      <c r="K106" s="104"/>
      <c r="L106" s="104"/>
      <c r="M106" s="104">
        <v>1594</v>
      </c>
      <c r="N106" s="105">
        <v>1594</v>
      </c>
      <c r="O106" s="104">
        <v>0</v>
      </c>
      <c r="P106" s="106">
        <v>0</v>
      </c>
      <c r="Q106" s="106"/>
      <c r="R106" s="106"/>
      <c r="S106" s="106">
        <v>1594</v>
      </c>
      <c r="T106" s="107">
        <v>1594</v>
      </c>
      <c r="U106" s="16">
        <f t="shared" si="3"/>
        <v>1099</v>
      </c>
    </row>
    <row r="107" spans="1:21">
      <c r="A107" s="56">
        <v>101</v>
      </c>
      <c r="B107" s="108" t="s">
        <v>338</v>
      </c>
      <c r="C107" s="13" t="s">
        <v>239</v>
      </c>
      <c r="D107" s="14">
        <f t="shared" si="2"/>
        <v>642.25</v>
      </c>
      <c r="E107" s="106">
        <v>489.26</v>
      </c>
      <c r="F107" s="106"/>
      <c r="G107" s="106"/>
      <c r="H107" s="106">
        <v>152.99</v>
      </c>
      <c r="I107" s="106"/>
      <c r="J107" s="106"/>
      <c r="K107" s="106"/>
      <c r="L107" s="106"/>
      <c r="M107" s="106">
        <v>1167</v>
      </c>
      <c r="N107" s="109">
        <v>1167</v>
      </c>
      <c r="O107" s="106">
        <v>364</v>
      </c>
      <c r="P107" s="106">
        <v>0</v>
      </c>
      <c r="Q107" s="106"/>
      <c r="R107" s="106"/>
      <c r="S107" s="106">
        <v>1531</v>
      </c>
      <c r="T107" s="107">
        <v>1531</v>
      </c>
      <c r="U107" s="16">
        <f t="shared" si="3"/>
        <v>672</v>
      </c>
    </row>
    <row r="108" spans="1:21">
      <c r="A108" s="56">
        <v>102</v>
      </c>
      <c r="B108" s="108" t="s">
        <v>339</v>
      </c>
      <c r="C108" s="13" t="s">
        <v>239</v>
      </c>
      <c r="D108" s="14">
        <f t="shared" si="2"/>
        <v>821.73</v>
      </c>
      <c r="E108" s="106">
        <v>799.89</v>
      </c>
      <c r="F108" s="106"/>
      <c r="G108" s="106"/>
      <c r="H108" s="106">
        <v>21.840000000000003</v>
      </c>
      <c r="I108" s="106"/>
      <c r="J108" s="106"/>
      <c r="K108" s="106"/>
      <c r="L108" s="106"/>
      <c r="M108" s="106">
        <v>733</v>
      </c>
      <c r="N108" s="109">
        <v>733</v>
      </c>
      <c r="O108" s="106">
        <v>76</v>
      </c>
      <c r="P108" s="106">
        <v>0</v>
      </c>
      <c r="Q108" s="106"/>
      <c r="R108" s="106"/>
      <c r="S108" s="106">
        <v>809</v>
      </c>
      <c r="T108" s="107">
        <v>809</v>
      </c>
      <c r="U108" s="16">
        <f t="shared" si="3"/>
        <v>238</v>
      </c>
    </row>
    <row r="109" spans="1:21">
      <c r="A109" s="56">
        <v>103</v>
      </c>
      <c r="B109" s="108" t="s">
        <v>340</v>
      </c>
      <c r="C109" s="13" t="s">
        <v>239</v>
      </c>
      <c r="D109" s="14">
        <f t="shared" si="2"/>
        <v>644.42999999999995</v>
      </c>
      <c r="E109" s="106">
        <v>644.42999999999995</v>
      </c>
      <c r="F109" s="106"/>
      <c r="G109" s="106"/>
      <c r="H109" s="106"/>
      <c r="I109" s="106"/>
      <c r="J109" s="106"/>
      <c r="K109" s="106"/>
      <c r="L109" s="106"/>
      <c r="M109" s="106">
        <v>1529</v>
      </c>
      <c r="N109" s="109"/>
      <c r="O109" s="106"/>
      <c r="P109" s="106"/>
      <c r="Q109" s="106"/>
      <c r="R109" s="106"/>
      <c r="S109" s="106"/>
      <c r="T109" s="107">
        <v>1529</v>
      </c>
      <c r="U109" s="16">
        <f t="shared" si="3"/>
        <v>1034</v>
      </c>
    </row>
    <row r="110" spans="1:21">
      <c r="A110" s="56">
        <v>104</v>
      </c>
      <c r="B110" s="108" t="s">
        <v>341</v>
      </c>
      <c r="C110" s="13" t="s">
        <v>239</v>
      </c>
      <c r="D110" s="14">
        <f t="shared" si="2"/>
        <v>68.099999999999994</v>
      </c>
      <c r="E110" s="106">
        <v>68.099999999999994</v>
      </c>
      <c r="F110" s="106"/>
      <c r="G110" s="106"/>
      <c r="H110" s="106"/>
      <c r="I110" s="106"/>
      <c r="J110" s="106"/>
      <c r="K110" s="106"/>
      <c r="L110" s="106"/>
      <c r="M110" s="106">
        <v>277</v>
      </c>
      <c r="N110" s="109">
        <v>277</v>
      </c>
      <c r="O110" s="106">
        <v>0</v>
      </c>
      <c r="P110" s="106">
        <v>0</v>
      </c>
      <c r="Q110" s="106"/>
      <c r="R110" s="106"/>
      <c r="S110" s="106">
        <v>277</v>
      </c>
      <c r="T110" s="107">
        <v>277</v>
      </c>
      <c r="U110" s="16">
        <f t="shared" si="3"/>
        <v>-218</v>
      </c>
    </row>
    <row r="111" spans="1:21">
      <c r="A111" s="56">
        <v>105</v>
      </c>
      <c r="B111" s="108" t="s">
        <v>342</v>
      </c>
      <c r="C111" s="13" t="s">
        <v>239</v>
      </c>
      <c r="D111" s="14">
        <f t="shared" si="2"/>
        <v>81.990000000000009</v>
      </c>
      <c r="E111" s="106">
        <v>81.990000000000009</v>
      </c>
      <c r="F111" s="106"/>
      <c r="G111" s="106"/>
      <c r="H111" s="106"/>
      <c r="I111" s="106"/>
      <c r="J111" s="106"/>
      <c r="K111" s="106"/>
      <c r="L111" s="106"/>
      <c r="M111" s="106">
        <v>289</v>
      </c>
      <c r="N111" s="109">
        <v>289</v>
      </c>
      <c r="O111" s="106"/>
      <c r="P111" s="106">
        <v>0</v>
      </c>
      <c r="Q111" s="106"/>
      <c r="R111" s="106"/>
      <c r="S111" s="106">
        <v>289</v>
      </c>
      <c r="T111" s="107">
        <v>289</v>
      </c>
      <c r="U111" s="16">
        <f t="shared" si="3"/>
        <v>-206</v>
      </c>
    </row>
    <row r="112" spans="1:21">
      <c r="A112" s="56">
        <v>106</v>
      </c>
      <c r="B112" s="108" t="s">
        <v>343</v>
      </c>
      <c r="C112" s="13" t="s">
        <v>239</v>
      </c>
      <c r="D112" s="14">
        <f t="shared" si="2"/>
        <v>415.34</v>
      </c>
      <c r="E112" s="106">
        <v>415.34</v>
      </c>
      <c r="F112" s="106"/>
      <c r="G112" s="106"/>
      <c r="H112" s="106"/>
      <c r="I112" s="106"/>
      <c r="J112" s="106"/>
      <c r="K112" s="106"/>
      <c r="L112" s="106"/>
      <c r="M112" s="106">
        <v>2882</v>
      </c>
      <c r="N112" s="109">
        <v>2882</v>
      </c>
      <c r="O112" s="106">
        <v>0</v>
      </c>
      <c r="P112" s="106">
        <v>0</v>
      </c>
      <c r="Q112" s="106"/>
      <c r="R112" s="106"/>
      <c r="S112" s="106">
        <v>2882</v>
      </c>
      <c r="T112" s="107">
        <v>2882</v>
      </c>
      <c r="U112" s="16">
        <f t="shared" si="3"/>
        <v>2387</v>
      </c>
    </row>
    <row r="113" spans="1:21">
      <c r="A113" s="56">
        <v>107</v>
      </c>
      <c r="B113" s="108" t="s">
        <v>344</v>
      </c>
      <c r="C113" s="13" t="s">
        <v>239</v>
      </c>
      <c r="D113" s="14">
        <f t="shared" si="2"/>
        <v>556.37</v>
      </c>
      <c r="E113" s="106">
        <v>556.37</v>
      </c>
      <c r="F113" s="106"/>
      <c r="G113" s="106"/>
      <c r="H113" s="106"/>
      <c r="I113" s="106"/>
      <c r="J113" s="106"/>
      <c r="K113" s="106"/>
      <c r="L113" s="106"/>
      <c r="M113" s="106">
        <v>1521</v>
      </c>
      <c r="N113" s="109">
        <v>1521</v>
      </c>
      <c r="O113" s="106">
        <v>0</v>
      </c>
      <c r="P113" s="106">
        <v>0</v>
      </c>
      <c r="Q113" s="106"/>
      <c r="R113" s="106"/>
      <c r="S113" s="106">
        <v>1521</v>
      </c>
      <c r="T113" s="107">
        <v>1521</v>
      </c>
      <c r="U113" s="16">
        <f t="shared" si="3"/>
        <v>1026</v>
      </c>
    </row>
    <row r="114" spans="1:21">
      <c r="A114" s="56">
        <v>108</v>
      </c>
      <c r="B114" s="108" t="s">
        <v>344</v>
      </c>
      <c r="C114" s="13"/>
      <c r="D114" s="14">
        <f t="shared" si="2"/>
        <v>0</v>
      </c>
      <c r="E114" s="106"/>
      <c r="F114" s="106"/>
      <c r="G114" s="106"/>
      <c r="H114" s="106"/>
      <c r="I114" s="106"/>
      <c r="J114" s="106"/>
      <c r="K114" s="106"/>
      <c r="L114" s="106"/>
      <c r="M114" s="106">
        <v>3397</v>
      </c>
      <c r="N114" s="109">
        <v>3397</v>
      </c>
      <c r="O114" s="106"/>
      <c r="P114" s="106"/>
      <c r="Q114" s="106"/>
      <c r="R114" s="106"/>
      <c r="S114" s="106">
        <v>3397</v>
      </c>
      <c r="T114" s="107">
        <v>3397</v>
      </c>
      <c r="U114" s="16">
        <f t="shared" si="3"/>
        <v>2902</v>
      </c>
    </row>
    <row r="115" spans="1:21">
      <c r="A115" s="56">
        <v>109</v>
      </c>
      <c r="B115" s="108" t="s">
        <v>345</v>
      </c>
      <c r="C115" s="13" t="s">
        <v>239</v>
      </c>
      <c r="D115" s="14">
        <f t="shared" si="2"/>
        <v>654.51</v>
      </c>
      <c r="E115" s="106">
        <v>654.51</v>
      </c>
      <c r="F115" s="106"/>
      <c r="G115" s="106"/>
      <c r="H115" s="106"/>
      <c r="I115" s="106"/>
      <c r="J115" s="106"/>
      <c r="K115" s="106"/>
      <c r="L115" s="106"/>
      <c r="M115" s="106">
        <v>835</v>
      </c>
      <c r="N115" s="109">
        <v>835</v>
      </c>
      <c r="O115" s="106">
        <v>0</v>
      </c>
      <c r="P115" s="106">
        <v>0</v>
      </c>
      <c r="Q115" s="106"/>
      <c r="R115" s="106"/>
      <c r="S115" s="106">
        <v>835</v>
      </c>
      <c r="T115" s="107">
        <v>835</v>
      </c>
      <c r="U115" s="16">
        <f t="shared" si="3"/>
        <v>340</v>
      </c>
    </row>
    <row r="116" spans="1:21">
      <c r="A116" s="56">
        <v>110</v>
      </c>
      <c r="B116" s="108" t="s">
        <v>346</v>
      </c>
      <c r="C116" s="13" t="s">
        <v>239</v>
      </c>
      <c r="D116" s="14">
        <f t="shared" si="2"/>
        <v>218.62</v>
      </c>
      <c r="E116" s="106">
        <v>218.62</v>
      </c>
      <c r="F116" s="106"/>
      <c r="G116" s="106"/>
      <c r="H116" s="106"/>
      <c r="I116" s="106"/>
      <c r="J116" s="106"/>
      <c r="K116" s="106"/>
      <c r="L116" s="106"/>
      <c r="M116" s="106">
        <v>2288</v>
      </c>
      <c r="N116" s="109">
        <v>2288</v>
      </c>
      <c r="O116" s="106">
        <v>0</v>
      </c>
      <c r="P116" s="106">
        <v>0</v>
      </c>
      <c r="Q116" s="106"/>
      <c r="R116" s="106"/>
      <c r="S116" s="106">
        <v>2288</v>
      </c>
      <c r="T116" s="107">
        <v>2288</v>
      </c>
      <c r="U116" s="16">
        <f t="shared" si="3"/>
        <v>1793</v>
      </c>
    </row>
    <row r="117" spans="1:21">
      <c r="A117" s="56">
        <v>111</v>
      </c>
      <c r="B117" s="108" t="s">
        <v>347</v>
      </c>
      <c r="C117" s="13" t="s">
        <v>239</v>
      </c>
      <c r="D117" s="14">
        <f t="shared" si="2"/>
        <v>535.11999999999989</v>
      </c>
      <c r="E117" s="106">
        <v>535.11999999999989</v>
      </c>
      <c r="F117" s="106"/>
      <c r="G117" s="106"/>
      <c r="H117" s="106"/>
      <c r="I117" s="106"/>
      <c r="J117" s="106"/>
      <c r="K117" s="106"/>
      <c r="L117" s="106"/>
      <c r="M117" s="106">
        <v>1652</v>
      </c>
      <c r="N117" s="109">
        <v>1652</v>
      </c>
      <c r="O117" s="106">
        <v>0</v>
      </c>
      <c r="P117" s="106">
        <v>0</v>
      </c>
      <c r="Q117" s="106"/>
      <c r="R117" s="106"/>
      <c r="S117" s="106">
        <v>1652</v>
      </c>
      <c r="T117" s="107">
        <v>1652</v>
      </c>
      <c r="U117" s="16">
        <f t="shared" si="3"/>
        <v>1157</v>
      </c>
    </row>
    <row r="118" spans="1:21">
      <c r="A118" s="56">
        <v>112</v>
      </c>
      <c r="B118" s="108" t="s">
        <v>348</v>
      </c>
      <c r="C118" s="13" t="s">
        <v>239</v>
      </c>
      <c r="D118" s="14">
        <f t="shared" si="2"/>
        <v>193.32</v>
      </c>
      <c r="E118" s="106">
        <v>193.32</v>
      </c>
      <c r="F118" s="106"/>
      <c r="G118" s="106"/>
      <c r="H118" s="106"/>
      <c r="I118" s="106"/>
      <c r="J118" s="106"/>
      <c r="K118" s="106"/>
      <c r="L118" s="106"/>
      <c r="M118" s="106">
        <v>1404</v>
      </c>
      <c r="N118" s="109">
        <v>1404</v>
      </c>
      <c r="O118" s="106">
        <v>0</v>
      </c>
      <c r="P118" s="106">
        <v>0</v>
      </c>
      <c r="Q118" s="106"/>
      <c r="R118" s="106"/>
      <c r="S118" s="106">
        <v>1404</v>
      </c>
      <c r="T118" s="107">
        <v>1404</v>
      </c>
      <c r="U118" s="16">
        <f t="shared" si="3"/>
        <v>909</v>
      </c>
    </row>
    <row r="119" spans="1:21">
      <c r="A119" s="56">
        <v>113</v>
      </c>
      <c r="B119" s="108" t="s">
        <v>349</v>
      </c>
      <c r="C119" s="13" t="s">
        <v>239</v>
      </c>
      <c r="D119" s="14">
        <f t="shared" si="2"/>
        <v>177.07</v>
      </c>
      <c r="E119" s="106">
        <v>177.07</v>
      </c>
      <c r="F119" s="106"/>
      <c r="G119" s="106"/>
      <c r="H119" s="106"/>
      <c r="I119" s="106"/>
      <c r="J119" s="106"/>
      <c r="K119" s="106"/>
      <c r="L119" s="106"/>
      <c r="M119" s="106">
        <v>2935</v>
      </c>
      <c r="N119" s="109">
        <v>2935</v>
      </c>
      <c r="O119" s="106">
        <v>0</v>
      </c>
      <c r="P119" s="106">
        <v>0</v>
      </c>
      <c r="Q119" s="106"/>
      <c r="R119" s="106"/>
      <c r="S119" s="106">
        <v>2935</v>
      </c>
      <c r="T119" s="107">
        <v>2935</v>
      </c>
      <c r="U119" s="16">
        <f t="shared" si="3"/>
        <v>2440</v>
      </c>
    </row>
    <row r="120" spans="1:21">
      <c r="A120" s="56">
        <v>114</v>
      </c>
      <c r="B120" s="102" t="s">
        <v>350</v>
      </c>
      <c r="C120" s="103" t="s">
        <v>237</v>
      </c>
      <c r="D120" s="14">
        <f t="shared" si="2"/>
        <v>0</v>
      </c>
      <c r="E120" s="104">
        <v>0</v>
      </c>
      <c r="F120" s="104"/>
      <c r="G120" s="104"/>
      <c r="H120" s="104"/>
      <c r="I120" s="104"/>
      <c r="J120" s="104"/>
      <c r="K120" s="104"/>
      <c r="L120" s="104"/>
      <c r="M120" s="104">
        <v>0</v>
      </c>
      <c r="N120" s="105">
        <v>0</v>
      </c>
      <c r="O120" s="104">
        <v>0</v>
      </c>
      <c r="P120" s="106">
        <v>0</v>
      </c>
      <c r="Q120" s="106"/>
      <c r="R120" s="106"/>
      <c r="S120" s="106">
        <v>0</v>
      </c>
      <c r="T120" s="107">
        <v>0</v>
      </c>
      <c r="U120" s="16">
        <f t="shared" si="3"/>
        <v>-495</v>
      </c>
    </row>
    <row r="121" spans="1:21">
      <c r="A121" s="56">
        <v>115</v>
      </c>
      <c r="B121" s="108" t="s">
        <v>351</v>
      </c>
      <c r="C121" s="13" t="s">
        <v>239</v>
      </c>
      <c r="D121" s="14">
        <f t="shared" si="2"/>
        <v>241.80999999999997</v>
      </c>
      <c r="E121" s="106">
        <v>241.80999999999997</v>
      </c>
      <c r="F121" s="106"/>
      <c r="G121" s="106"/>
      <c r="H121" s="106"/>
      <c r="I121" s="106"/>
      <c r="J121" s="106"/>
      <c r="K121" s="106"/>
      <c r="L121" s="106"/>
      <c r="M121" s="106">
        <v>2708</v>
      </c>
      <c r="N121" s="109">
        <v>2708</v>
      </c>
      <c r="O121" s="106">
        <v>0</v>
      </c>
      <c r="P121" s="106">
        <v>0</v>
      </c>
      <c r="Q121" s="106"/>
      <c r="R121" s="106"/>
      <c r="S121" s="106">
        <v>2708</v>
      </c>
      <c r="T121" s="107">
        <v>2708</v>
      </c>
      <c r="U121" s="16">
        <f t="shared" si="3"/>
        <v>2213</v>
      </c>
    </row>
    <row r="122" spans="1:21" ht="15">
      <c r="A122" s="56">
        <v>116</v>
      </c>
      <c r="B122" s="113" t="s">
        <v>352</v>
      </c>
      <c r="C122" s="114" t="s">
        <v>239</v>
      </c>
      <c r="D122" s="14">
        <f t="shared" si="2"/>
        <v>189.69</v>
      </c>
      <c r="E122" s="115">
        <v>189.69</v>
      </c>
      <c r="F122" s="115"/>
      <c r="G122" s="115"/>
      <c r="H122" s="115"/>
      <c r="I122" s="115"/>
      <c r="J122" s="115"/>
      <c r="K122" s="115"/>
      <c r="L122" s="115"/>
      <c r="M122" s="115">
        <v>225</v>
      </c>
      <c r="N122" s="116">
        <v>225</v>
      </c>
      <c r="O122" s="115"/>
      <c r="P122" s="115">
        <v>0</v>
      </c>
      <c r="Q122" s="115"/>
      <c r="R122" s="115"/>
      <c r="S122" s="115">
        <v>225</v>
      </c>
      <c r="T122" s="117">
        <v>225</v>
      </c>
      <c r="U122" s="16">
        <f t="shared" si="3"/>
        <v>-270</v>
      </c>
    </row>
    <row r="123" spans="1:21">
      <c r="A123" s="56">
        <v>117</v>
      </c>
      <c r="B123" s="108" t="s">
        <v>353</v>
      </c>
      <c r="C123" s="13" t="s">
        <v>239</v>
      </c>
      <c r="D123" s="14">
        <f t="shared" si="2"/>
        <v>419.22</v>
      </c>
      <c r="E123" s="106">
        <v>419.22</v>
      </c>
      <c r="F123" s="106"/>
      <c r="G123" s="106"/>
      <c r="H123" s="106"/>
      <c r="I123" s="106"/>
      <c r="J123" s="106"/>
      <c r="K123" s="106"/>
      <c r="L123" s="106"/>
      <c r="M123" s="106">
        <v>7556</v>
      </c>
      <c r="N123" s="109">
        <v>7556</v>
      </c>
      <c r="O123" s="106">
        <v>0</v>
      </c>
      <c r="P123" s="106">
        <v>0</v>
      </c>
      <c r="Q123" s="106"/>
      <c r="R123" s="106"/>
      <c r="S123" s="106">
        <v>7556</v>
      </c>
      <c r="T123" s="107">
        <v>7556</v>
      </c>
      <c r="U123" s="16">
        <f t="shared" si="3"/>
        <v>7061</v>
      </c>
    </row>
    <row r="124" spans="1:21">
      <c r="A124" s="56">
        <v>118</v>
      </c>
      <c r="B124" s="108" t="s">
        <v>354</v>
      </c>
      <c r="C124" s="13" t="s">
        <v>239</v>
      </c>
      <c r="D124" s="14">
        <f t="shared" si="2"/>
        <v>429.5</v>
      </c>
      <c r="E124" s="106">
        <v>429.5</v>
      </c>
      <c r="F124" s="106"/>
      <c r="G124" s="106"/>
      <c r="H124" s="106"/>
      <c r="I124" s="106"/>
      <c r="J124" s="106"/>
      <c r="K124" s="106"/>
      <c r="L124" s="106"/>
      <c r="M124" s="106">
        <v>1506</v>
      </c>
      <c r="N124" s="109">
        <v>1506</v>
      </c>
      <c r="O124" s="106">
        <v>0</v>
      </c>
      <c r="P124" s="106">
        <v>0</v>
      </c>
      <c r="Q124" s="106"/>
      <c r="R124" s="106"/>
      <c r="S124" s="106">
        <v>1506</v>
      </c>
      <c r="T124" s="107">
        <v>1506</v>
      </c>
      <c r="U124" s="16">
        <f t="shared" si="3"/>
        <v>1011</v>
      </c>
    </row>
    <row r="125" spans="1:21">
      <c r="A125" s="56">
        <v>119</v>
      </c>
      <c r="B125" s="108" t="s">
        <v>355</v>
      </c>
      <c r="C125" s="13"/>
      <c r="D125" s="14">
        <f t="shared" si="2"/>
        <v>156.80000000000001</v>
      </c>
      <c r="E125" s="106">
        <v>156.80000000000001</v>
      </c>
      <c r="F125" s="106"/>
      <c r="G125" s="106"/>
      <c r="H125" s="106"/>
      <c r="I125" s="106"/>
      <c r="J125" s="106"/>
      <c r="K125" s="106"/>
      <c r="L125" s="106"/>
      <c r="M125" s="106">
        <v>1432</v>
      </c>
      <c r="N125" s="109">
        <v>1432</v>
      </c>
      <c r="O125" s="106">
        <v>0</v>
      </c>
      <c r="P125" s="106">
        <v>0</v>
      </c>
      <c r="Q125" s="106"/>
      <c r="R125" s="106"/>
      <c r="S125" s="106">
        <v>1432</v>
      </c>
      <c r="T125" s="107">
        <v>1432</v>
      </c>
      <c r="U125" s="16">
        <f t="shared" si="3"/>
        <v>937</v>
      </c>
    </row>
    <row r="126" spans="1:21">
      <c r="A126" s="56">
        <v>120</v>
      </c>
      <c r="B126" s="108" t="s">
        <v>356</v>
      </c>
      <c r="C126" s="13" t="s">
        <v>239</v>
      </c>
      <c r="D126" s="14">
        <f t="shared" si="2"/>
        <v>1005.41</v>
      </c>
      <c r="E126" s="106">
        <v>1005.41</v>
      </c>
      <c r="F126" s="106"/>
      <c r="G126" s="106"/>
      <c r="H126" s="106"/>
      <c r="I126" s="106"/>
      <c r="J126" s="106"/>
      <c r="K126" s="106"/>
      <c r="L126" s="106"/>
      <c r="M126" s="106">
        <v>1548</v>
      </c>
      <c r="N126" s="109">
        <v>1548</v>
      </c>
      <c r="O126" s="106">
        <v>0</v>
      </c>
      <c r="P126" s="106">
        <v>0</v>
      </c>
      <c r="Q126" s="106"/>
      <c r="R126" s="106"/>
      <c r="S126" s="106">
        <v>1548</v>
      </c>
      <c r="T126" s="107">
        <v>1548</v>
      </c>
      <c r="U126" s="16">
        <f t="shared" si="3"/>
        <v>1053</v>
      </c>
    </row>
    <row r="127" spans="1:21">
      <c r="A127" s="56">
        <v>121</v>
      </c>
      <c r="B127" s="108" t="s">
        <v>357</v>
      </c>
      <c r="C127" s="13" t="s">
        <v>239</v>
      </c>
      <c r="D127" s="14">
        <f t="shared" si="2"/>
        <v>997.03000000000009</v>
      </c>
      <c r="E127" s="106">
        <v>997.03000000000009</v>
      </c>
      <c r="F127" s="106"/>
      <c r="G127" s="106"/>
      <c r="H127" s="106"/>
      <c r="I127" s="106"/>
      <c r="J127" s="106"/>
      <c r="K127" s="106"/>
      <c r="L127" s="106"/>
      <c r="M127" s="106">
        <v>1597</v>
      </c>
      <c r="N127" s="109">
        <v>1597</v>
      </c>
      <c r="O127" s="106">
        <v>0</v>
      </c>
      <c r="P127" s="106">
        <v>0</v>
      </c>
      <c r="Q127" s="106"/>
      <c r="R127" s="106"/>
      <c r="S127" s="106">
        <v>1597</v>
      </c>
      <c r="T127" s="107">
        <v>1597</v>
      </c>
      <c r="U127" s="16">
        <f t="shared" si="3"/>
        <v>1102</v>
      </c>
    </row>
    <row r="128" spans="1:21">
      <c r="A128" s="56">
        <v>122</v>
      </c>
      <c r="B128" s="108" t="s">
        <v>358</v>
      </c>
      <c r="C128" s="13" t="s">
        <v>239</v>
      </c>
      <c r="D128" s="14">
        <f t="shared" si="2"/>
        <v>447.96</v>
      </c>
      <c r="E128" s="106">
        <v>447.96</v>
      </c>
      <c r="F128" s="106"/>
      <c r="G128" s="106"/>
      <c r="H128" s="106"/>
      <c r="I128" s="106"/>
      <c r="J128" s="106"/>
      <c r="K128" s="106"/>
      <c r="L128" s="106"/>
      <c r="M128" s="106">
        <v>1190</v>
      </c>
      <c r="N128" s="109">
        <v>1190</v>
      </c>
      <c r="O128" s="106">
        <v>0</v>
      </c>
      <c r="P128" s="106">
        <v>0</v>
      </c>
      <c r="Q128" s="106"/>
      <c r="R128" s="106"/>
      <c r="S128" s="106">
        <v>1190</v>
      </c>
      <c r="T128" s="107">
        <v>1190</v>
      </c>
      <c r="U128" s="16">
        <f t="shared" si="3"/>
        <v>695</v>
      </c>
    </row>
    <row r="129" spans="1:21">
      <c r="A129" s="56">
        <v>123</v>
      </c>
      <c r="B129" s="108" t="s">
        <v>359</v>
      </c>
      <c r="C129" s="13" t="s">
        <v>239</v>
      </c>
      <c r="D129" s="14">
        <f t="shared" si="2"/>
        <v>206.14000000000001</v>
      </c>
      <c r="E129" s="106">
        <v>206.14000000000001</v>
      </c>
      <c r="F129" s="106"/>
      <c r="G129" s="106"/>
      <c r="H129" s="106"/>
      <c r="I129" s="106"/>
      <c r="J129" s="106"/>
      <c r="K129" s="106"/>
      <c r="L129" s="106"/>
      <c r="M129" s="106">
        <v>2113</v>
      </c>
      <c r="N129" s="109">
        <v>2113</v>
      </c>
      <c r="O129" s="106">
        <v>0</v>
      </c>
      <c r="P129" s="106">
        <v>0</v>
      </c>
      <c r="Q129" s="106"/>
      <c r="R129" s="106"/>
      <c r="S129" s="106">
        <v>2113</v>
      </c>
      <c r="T129" s="107">
        <v>2113</v>
      </c>
      <c r="U129" s="16">
        <f t="shared" si="3"/>
        <v>1618</v>
      </c>
    </row>
    <row r="130" spans="1:21">
      <c r="A130" s="56">
        <v>124</v>
      </c>
      <c r="B130" s="108" t="s">
        <v>360</v>
      </c>
      <c r="C130" s="13" t="s">
        <v>239</v>
      </c>
      <c r="D130" s="14">
        <f t="shared" si="2"/>
        <v>148.22</v>
      </c>
      <c r="E130" s="106">
        <v>148.22</v>
      </c>
      <c r="F130" s="106"/>
      <c r="G130" s="106"/>
      <c r="H130" s="106"/>
      <c r="I130" s="106"/>
      <c r="J130" s="106"/>
      <c r="K130" s="106"/>
      <c r="L130" s="106"/>
      <c r="M130" s="106">
        <v>442</v>
      </c>
      <c r="N130" s="109">
        <v>442</v>
      </c>
      <c r="O130" s="106">
        <v>0</v>
      </c>
      <c r="P130" s="106">
        <v>0</v>
      </c>
      <c r="Q130" s="106"/>
      <c r="R130" s="106"/>
      <c r="S130" s="106">
        <v>442</v>
      </c>
      <c r="T130" s="107">
        <v>442</v>
      </c>
      <c r="U130" s="16">
        <f t="shared" si="3"/>
        <v>-53</v>
      </c>
    </row>
    <row r="131" spans="1:21">
      <c r="A131" s="56">
        <v>125</v>
      </c>
      <c r="B131" s="108" t="s">
        <v>361</v>
      </c>
      <c r="C131" s="13" t="s">
        <v>239</v>
      </c>
      <c r="D131" s="14">
        <f t="shared" si="2"/>
        <v>667.92</v>
      </c>
      <c r="E131" s="106">
        <v>667.92</v>
      </c>
      <c r="F131" s="106"/>
      <c r="G131" s="106"/>
      <c r="H131" s="106"/>
      <c r="I131" s="106"/>
      <c r="J131" s="106"/>
      <c r="K131" s="106"/>
      <c r="L131" s="106"/>
      <c r="M131" s="106">
        <v>1069</v>
      </c>
      <c r="N131" s="109">
        <v>1069</v>
      </c>
      <c r="O131" s="106">
        <v>0</v>
      </c>
      <c r="P131" s="106">
        <v>0</v>
      </c>
      <c r="Q131" s="106"/>
      <c r="R131" s="106"/>
      <c r="S131" s="106">
        <v>1069</v>
      </c>
      <c r="T131" s="107">
        <v>1069</v>
      </c>
      <c r="U131" s="16">
        <f t="shared" si="3"/>
        <v>574</v>
      </c>
    </row>
    <row r="132" spans="1:21">
      <c r="A132" s="56">
        <v>126</v>
      </c>
      <c r="B132" s="108" t="s">
        <v>362</v>
      </c>
      <c r="C132" s="13" t="s">
        <v>239</v>
      </c>
      <c r="D132" s="14">
        <f t="shared" si="2"/>
        <v>243.93</v>
      </c>
      <c r="E132" s="106">
        <v>243.93</v>
      </c>
      <c r="F132" s="106"/>
      <c r="G132" s="106"/>
      <c r="H132" s="106"/>
      <c r="I132" s="106"/>
      <c r="J132" s="106"/>
      <c r="K132" s="106"/>
      <c r="L132" s="106"/>
      <c r="M132" s="106">
        <v>1073</v>
      </c>
      <c r="N132" s="109">
        <v>1073</v>
      </c>
      <c r="O132" s="106">
        <v>0</v>
      </c>
      <c r="P132" s="106">
        <v>0</v>
      </c>
      <c r="Q132" s="106"/>
      <c r="R132" s="106"/>
      <c r="S132" s="106">
        <v>1073</v>
      </c>
      <c r="T132" s="107">
        <v>1073</v>
      </c>
      <c r="U132" s="16">
        <f t="shared" si="3"/>
        <v>578</v>
      </c>
    </row>
    <row r="133" spans="1:21">
      <c r="A133" s="56">
        <v>127</v>
      </c>
      <c r="B133" s="108" t="s">
        <v>363</v>
      </c>
      <c r="C133" s="13" t="s">
        <v>239</v>
      </c>
      <c r="D133" s="14">
        <f t="shared" si="2"/>
        <v>278.66000000000003</v>
      </c>
      <c r="E133" s="106">
        <v>278.66000000000003</v>
      </c>
      <c r="F133" s="106"/>
      <c r="G133" s="106"/>
      <c r="H133" s="106"/>
      <c r="I133" s="106"/>
      <c r="J133" s="106"/>
      <c r="K133" s="106"/>
      <c r="L133" s="106"/>
      <c r="M133" s="106">
        <v>1319</v>
      </c>
      <c r="N133" s="109">
        <v>1319</v>
      </c>
      <c r="O133" s="106">
        <v>0</v>
      </c>
      <c r="P133" s="106">
        <v>0</v>
      </c>
      <c r="Q133" s="106"/>
      <c r="R133" s="106"/>
      <c r="S133" s="106">
        <v>1319</v>
      </c>
      <c r="T133" s="107">
        <v>1319</v>
      </c>
      <c r="U133" s="16">
        <f t="shared" si="3"/>
        <v>824</v>
      </c>
    </row>
    <row r="134" spans="1:21">
      <c r="A134" s="56">
        <v>128</v>
      </c>
      <c r="B134" s="108" t="s">
        <v>364</v>
      </c>
      <c r="C134" s="13" t="s">
        <v>239</v>
      </c>
      <c r="D134" s="14">
        <f t="shared" si="2"/>
        <v>273.28000000000003</v>
      </c>
      <c r="E134" s="106">
        <v>273.28000000000003</v>
      </c>
      <c r="F134" s="106"/>
      <c r="G134" s="106"/>
      <c r="H134" s="106"/>
      <c r="I134" s="106"/>
      <c r="J134" s="106"/>
      <c r="K134" s="106"/>
      <c r="L134" s="106"/>
      <c r="M134" s="106">
        <v>1311</v>
      </c>
      <c r="N134" s="109">
        <v>1311</v>
      </c>
      <c r="O134" s="106">
        <v>0</v>
      </c>
      <c r="P134" s="106">
        <v>0</v>
      </c>
      <c r="Q134" s="106"/>
      <c r="R134" s="106"/>
      <c r="S134" s="106">
        <v>1311</v>
      </c>
      <c r="T134" s="107">
        <v>1311</v>
      </c>
      <c r="U134" s="16">
        <f t="shared" si="3"/>
        <v>816</v>
      </c>
    </row>
    <row r="135" spans="1:21">
      <c r="A135" s="56">
        <v>129</v>
      </c>
      <c r="B135" s="108" t="s">
        <v>365</v>
      </c>
      <c r="C135" s="13" t="s">
        <v>239</v>
      </c>
      <c r="D135" s="14">
        <f t="shared" si="2"/>
        <v>485.96999999999997</v>
      </c>
      <c r="E135" s="106">
        <v>485.96999999999997</v>
      </c>
      <c r="F135" s="106"/>
      <c r="G135" s="106"/>
      <c r="H135" s="106"/>
      <c r="I135" s="106"/>
      <c r="J135" s="106"/>
      <c r="K135" s="106"/>
      <c r="L135" s="106"/>
      <c r="M135" s="106">
        <v>1055</v>
      </c>
      <c r="N135" s="109">
        <v>1055</v>
      </c>
      <c r="O135" s="106">
        <v>0</v>
      </c>
      <c r="P135" s="106">
        <v>0</v>
      </c>
      <c r="Q135" s="106"/>
      <c r="R135" s="106"/>
      <c r="S135" s="106">
        <v>1055</v>
      </c>
      <c r="T135" s="107">
        <v>1055</v>
      </c>
      <c r="U135" s="16">
        <f t="shared" si="3"/>
        <v>560</v>
      </c>
    </row>
    <row r="136" spans="1:21">
      <c r="A136" s="56">
        <v>130</v>
      </c>
      <c r="B136" s="108" t="s">
        <v>366</v>
      </c>
      <c r="C136" s="13" t="s">
        <v>239</v>
      </c>
      <c r="D136" s="14">
        <f t="shared" ref="D136:D191" si="4">H136+E136</f>
        <v>451.41999999999996</v>
      </c>
      <c r="E136" s="106">
        <v>301.93999999999994</v>
      </c>
      <c r="F136" s="106"/>
      <c r="G136" s="106"/>
      <c r="H136" s="106">
        <v>149.47999999999999</v>
      </c>
      <c r="I136" s="106"/>
      <c r="J136" s="106"/>
      <c r="K136" s="106"/>
      <c r="L136" s="106"/>
      <c r="M136" s="106">
        <v>2318</v>
      </c>
      <c r="N136" s="109">
        <v>2288</v>
      </c>
      <c r="O136" s="106"/>
      <c r="P136" s="106">
        <v>0</v>
      </c>
      <c r="Q136" s="106">
        <v>0</v>
      </c>
      <c r="R136" s="106"/>
      <c r="S136" s="106">
        <v>3421</v>
      </c>
      <c r="T136" s="107">
        <v>3421</v>
      </c>
      <c r="U136" s="16">
        <f t="shared" ref="U136:U192" si="5">M136-495</f>
        <v>1823</v>
      </c>
    </row>
    <row r="137" spans="1:21">
      <c r="A137" s="56">
        <v>131</v>
      </c>
      <c r="B137" s="108" t="s">
        <v>422</v>
      </c>
      <c r="C137" s="13" t="s">
        <v>239</v>
      </c>
      <c r="D137" s="14">
        <f t="shared" si="4"/>
        <v>80.259999999999962</v>
      </c>
      <c r="E137" s="106">
        <v>80.259999999999962</v>
      </c>
      <c r="F137" s="106"/>
      <c r="G137" s="106"/>
      <c r="H137" s="106"/>
      <c r="I137" s="106"/>
      <c r="J137" s="106"/>
      <c r="K137" s="106"/>
      <c r="L137" s="106"/>
      <c r="M137" s="106">
        <v>524</v>
      </c>
      <c r="N137" s="109">
        <v>524</v>
      </c>
      <c r="O137" s="106">
        <v>0</v>
      </c>
      <c r="P137" s="106">
        <v>0</v>
      </c>
      <c r="Q137" s="106"/>
      <c r="R137" s="106"/>
      <c r="S137" s="106">
        <v>524</v>
      </c>
      <c r="T137" s="107">
        <v>524</v>
      </c>
      <c r="U137" s="16">
        <f t="shared" si="5"/>
        <v>29</v>
      </c>
    </row>
    <row r="138" spans="1:21">
      <c r="A138" s="56">
        <v>132</v>
      </c>
      <c r="B138" s="108" t="s">
        <v>367</v>
      </c>
      <c r="C138" s="13" t="s">
        <v>239</v>
      </c>
      <c r="D138" s="14">
        <f t="shared" si="4"/>
        <v>148.99</v>
      </c>
      <c r="E138" s="106">
        <v>148.99</v>
      </c>
      <c r="F138" s="106"/>
      <c r="G138" s="106"/>
      <c r="H138" s="106"/>
      <c r="I138" s="106"/>
      <c r="J138" s="106"/>
      <c r="K138" s="106"/>
      <c r="L138" s="106"/>
      <c r="M138" s="106">
        <v>950</v>
      </c>
      <c r="N138" s="109">
        <v>950</v>
      </c>
      <c r="O138" s="106">
        <v>0</v>
      </c>
      <c r="P138" s="106">
        <v>0</v>
      </c>
      <c r="Q138" s="106"/>
      <c r="R138" s="106"/>
      <c r="S138" s="106">
        <v>950</v>
      </c>
      <c r="T138" s="107">
        <v>950</v>
      </c>
      <c r="U138" s="16">
        <f t="shared" si="5"/>
        <v>455</v>
      </c>
    </row>
    <row r="139" spans="1:21">
      <c r="A139" s="56">
        <v>133</v>
      </c>
      <c r="B139" s="108" t="s">
        <v>368</v>
      </c>
      <c r="C139" s="13" t="s">
        <v>239</v>
      </c>
      <c r="D139" s="14">
        <f t="shared" si="4"/>
        <v>533.25999999999988</v>
      </c>
      <c r="E139" s="106">
        <v>533.25999999999988</v>
      </c>
      <c r="F139" s="106"/>
      <c r="G139" s="106"/>
      <c r="H139" s="106"/>
      <c r="I139" s="106"/>
      <c r="J139" s="106"/>
      <c r="K139" s="106"/>
      <c r="L139" s="106"/>
      <c r="M139" s="106">
        <v>1103</v>
      </c>
      <c r="N139" s="109">
        <v>1103</v>
      </c>
      <c r="O139" s="106">
        <v>0</v>
      </c>
      <c r="P139" s="106">
        <v>0</v>
      </c>
      <c r="Q139" s="106"/>
      <c r="R139" s="106"/>
      <c r="S139" s="106">
        <v>1103</v>
      </c>
      <c r="T139" s="107">
        <v>1103</v>
      </c>
      <c r="U139" s="16">
        <f t="shared" si="5"/>
        <v>608</v>
      </c>
    </row>
    <row r="140" spans="1:21">
      <c r="A140" s="56">
        <v>134</v>
      </c>
      <c r="B140" s="108" t="s">
        <v>369</v>
      </c>
      <c r="C140" s="13" t="s">
        <v>239</v>
      </c>
      <c r="D140" s="14">
        <f t="shared" si="4"/>
        <v>1192.4099999999999</v>
      </c>
      <c r="E140" s="106">
        <v>352.86</v>
      </c>
      <c r="F140" s="106"/>
      <c r="G140" s="106"/>
      <c r="H140" s="106">
        <v>839.55</v>
      </c>
      <c r="I140" s="106"/>
      <c r="J140" s="106"/>
      <c r="K140" s="106"/>
      <c r="L140" s="106"/>
      <c r="M140" s="106">
        <v>333</v>
      </c>
      <c r="N140" s="109">
        <v>333</v>
      </c>
      <c r="O140" s="106">
        <v>819</v>
      </c>
      <c r="P140" s="106">
        <v>0</v>
      </c>
      <c r="Q140" s="106"/>
      <c r="R140" s="106"/>
      <c r="S140" s="106">
        <v>1152</v>
      </c>
      <c r="T140" s="107">
        <v>1152</v>
      </c>
      <c r="U140" s="16">
        <f t="shared" si="5"/>
        <v>-162</v>
      </c>
    </row>
    <row r="141" spans="1:21">
      <c r="A141" s="56">
        <v>135</v>
      </c>
      <c r="B141" s="108" t="s">
        <v>370</v>
      </c>
      <c r="C141" s="13" t="s">
        <v>239</v>
      </c>
      <c r="D141" s="14">
        <f t="shared" si="4"/>
        <v>322.13</v>
      </c>
      <c r="E141" s="106">
        <v>271.43</v>
      </c>
      <c r="F141" s="106"/>
      <c r="G141" s="106"/>
      <c r="H141" s="106">
        <v>50.7</v>
      </c>
      <c r="I141" s="106"/>
      <c r="J141" s="106"/>
      <c r="K141" s="106"/>
      <c r="L141" s="106"/>
      <c r="M141" s="106">
        <v>487</v>
      </c>
      <c r="N141" s="109">
        <v>487</v>
      </c>
      <c r="O141" s="106">
        <v>607</v>
      </c>
      <c r="P141" s="106">
        <v>0</v>
      </c>
      <c r="Q141" s="106"/>
      <c r="R141" s="106"/>
      <c r="S141" s="106">
        <v>1094</v>
      </c>
      <c r="T141" s="107">
        <v>1094</v>
      </c>
      <c r="U141" s="16">
        <f t="shared" si="5"/>
        <v>-8</v>
      </c>
    </row>
    <row r="142" spans="1:21">
      <c r="A142" s="56">
        <v>136</v>
      </c>
      <c r="B142" s="108" t="s">
        <v>371</v>
      </c>
      <c r="C142" s="13" t="s">
        <v>239</v>
      </c>
      <c r="D142" s="14">
        <f t="shared" si="4"/>
        <v>444.64000000000004</v>
      </c>
      <c r="E142" s="106">
        <v>444.64000000000004</v>
      </c>
      <c r="F142" s="106"/>
      <c r="G142" s="106"/>
      <c r="H142" s="106"/>
      <c r="I142" s="106"/>
      <c r="J142" s="106"/>
      <c r="K142" s="106"/>
      <c r="L142" s="106"/>
      <c r="M142" s="106">
        <v>805</v>
      </c>
      <c r="N142" s="109">
        <v>805</v>
      </c>
      <c r="O142" s="106">
        <v>0</v>
      </c>
      <c r="P142" s="106">
        <v>0</v>
      </c>
      <c r="Q142" s="106"/>
      <c r="R142" s="106"/>
      <c r="S142" s="106">
        <v>805</v>
      </c>
      <c r="T142" s="107">
        <v>805</v>
      </c>
      <c r="U142" s="16">
        <f t="shared" si="5"/>
        <v>310</v>
      </c>
    </row>
    <row r="143" spans="1:21">
      <c r="A143" s="56">
        <v>137</v>
      </c>
      <c r="B143" s="108" t="s">
        <v>372</v>
      </c>
      <c r="C143" s="13" t="s">
        <v>239</v>
      </c>
      <c r="D143" s="14">
        <f t="shared" si="4"/>
        <v>232.41</v>
      </c>
      <c r="E143" s="106">
        <v>232.41</v>
      </c>
      <c r="F143" s="106"/>
      <c r="G143" s="106"/>
      <c r="H143" s="106"/>
      <c r="I143" s="106"/>
      <c r="J143" s="106"/>
      <c r="K143" s="106"/>
      <c r="L143" s="106"/>
      <c r="M143" s="106">
        <v>0</v>
      </c>
      <c r="N143" s="109">
        <v>0</v>
      </c>
      <c r="O143" s="106">
        <v>0</v>
      </c>
      <c r="P143" s="106">
        <v>0</v>
      </c>
      <c r="Q143" s="106"/>
      <c r="R143" s="106"/>
      <c r="S143" s="106"/>
      <c r="T143" s="107">
        <v>0</v>
      </c>
      <c r="U143" s="16">
        <f t="shared" si="5"/>
        <v>-495</v>
      </c>
    </row>
    <row r="144" spans="1:21">
      <c r="A144" s="56">
        <v>138</v>
      </c>
      <c r="B144" s="108" t="s">
        <v>373</v>
      </c>
      <c r="C144" s="13" t="s">
        <v>239</v>
      </c>
      <c r="D144" s="14">
        <f t="shared" si="4"/>
        <v>268.43</v>
      </c>
      <c r="E144" s="106">
        <v>268.43</v>
      </c>
      <c r="F144" s="106"/>
      <c r="G144" s="106"/>
      <c r="H144" s="106"/>
      <c r="I144" s="106"/>
      <c r="J144" s="106"/>
      <c r="K144" s="106"/>
      <c r="L144" s="106"/>
      <c r="M144" s="106">
        <v>5698</v>
      </c>
      <c r="N144" s="109">
        <v>5698</v>
      </c>
      <c r="O144" s="106">
        <v>0</v>
      </c>
      <c r="P144" s="106">
        <v>0</v>
      </c>
      <c r="Q144" s="106"/>
      <c r="R144" s="106"/>
      <c r="S144" s="106">
        <v>5698</v>
      </c>
      <c r="T144" s="107">
        <v>5698</v>
      </c>
      <c r="U144" s="16">
        <f t="shared" si="5"/>
        <v>5203</v>
      </c>
    </row>
    <row r="145" spans="1:21">
      <c r="A145" s="56">
        <v>139</v>
      </c>
      <c r="B145" s="108" t="s">
        <v>374</v>
      </c>
      <c r="C145" s="13" t="s">
        <v>239</v>
      </c>
      <c r="D145" s="14">
        <f t="shared" si="4"/>
        <v>372.09999999999997</v>
      </c>
      <c r="E145" s="106">
        <v>372.09999999999997</v>
      </c>
      <c r="F145" s="106"/>
      <c r="G145" s="106"/>
      <c r="H145" s="106"/>
      <c r="I145" s="106"/>
      <c r="J145" s="106"/>
      <c r="K145" s="106"/>
      <c r="L145" s="106"/>
      <c r="M145" s="106">
        <v>1812</v>
      </c>
      <c r="N145" s="109">
        <v>1812</v>
      </c>
      <c r="O145" s="106">
        <v>0</v>
      </c>
      <c r="P145" s="106">
        <v>0</v>
      </c>
      <c r="Q145" s="106"/>
      <c r="R145" s="106"/>
      <c r="S145" s="106">
        <v>1812</v>
      </c>
      <c r="T145" s="107">
        <v>1812</v>
      </c>
      <c r="U145" s="16">
        <f t="shared" si="5"/>
        <v>1317</v>
      </c>
    </row>
    <row r="146" spans="1:21">
      <c r="A146" s="56">
        <v>140</v>
      </c>
      <c r="B146" s="108" t="s">
        <v>375</v>
      </c>
      <c r="C146" s="13" t="s">
        <v>239</v>
      </c>
      <c r="D146" s="14">
        <f t="shared" si="4"/>
        <v>405.85999999999996</v>
      </c>
      <c r="E146" s="106">
        <v>405.85999999999996</v>
      </c>
      <c r="F146" s="106"/>
      <c r="G146" s="106"/>
      <c r="H146" s="106"/>
      <c r="I146" s="106"/>
      <c r="J146" s="106"/>
      <c r="K146" s="106"/>
      <c r="L146" s="106"/>
      <c r="M146" s="106">
        <v>446</v>
      </c>
      <c r="N146" s="109">
        <v>446</v>
      </c>
      <c r="O146" s="106">
        <v>0</v>
      </c>
      <c r="P146" s="106">
        <v>0</v>
      </c>
      <c r="Q146" s="106"/>
      <c r="R146" s="106"/>
      <c r="S146" s="106">
        <v>446</v>
      </c>
      <c r="T146" s="107">
        <v>446</v>
      </c>
      <c r="U146" s="16">
        <f t="shared" si="5"/>
        <v>-49</v>
      </c>
    </row>
    <row r="147" spans="1:21">
      <c r="A147" s="56">
        <v>141</v>
      </c>
      <c r="B147" s="108" t="s">
        <v>376</v>
      </c>
      <c r="C147" s="13" t="s">
        <v>239</v>
      </c>
      <c r="D147" s="14">
        <f t="shared" si="4"/>
        <v>121.82</v>
      </c>
      <c r="E147" s="106">
        <v>121.82</v>
      </c>
      <c r="F147" s="106"/>
      <c r="G147" s="106"/>
      <c r="H147" s="106"/>
      <c r="I147" s="106"/>
      <c r="J147" s="106"/>
      <c r="K147" s="106"/>
      <c r="L147" s="106"/>
      <c r="M147" s="106">
        <v>684</v>
      </c>
      <c r="N147" s="109">
        <v>684</v>
      </c>
      <c r="O147" s="106">
        <v>0</v>
      </c>
      <c r="P147" s="106">
        <v>0</v>
      </c>
      <c r="Q147" s="106"/>
      <c r="R147" s="106"/>
      <c r="S147" s="106">
        <v>684</v>
      </c>
      <c r="T147" s="107">
        <v>684</v>
      </c>
      <c r="U147" s="16">
        <f t="shared" si="5"/>
        <v>189</v>
      </c>
    </row>
    <row r="148" spans="1:21">
      <c r="A148" s="56">
        <v>142</v>
      </c>
      <c r="B148" s="102" t="s">
        <v>377</v>
      </c>
      <c r="C148" s="103" t="s">
        <v>237</v>
      </c>
      <c r="D148" s="14">
        <f t="shared" si="4"/>
        <v>255.08</v>
      </c>
      <c r="E148" s="104">
        <v>255.08</v>
      </c>
      <c r="F148" s="104"/>
      <c r="G148" s="104"/>
      <c r="H148" s="104"/>
      <c r="I148" s="104"/>
      <c r="J148" s="104"/>
      <c r="K148" s="104"/>
      <c r="L148" s="104"/>
      <c r="M148" s="104">
        <v>444</v>
      </c>
      <c r="N148" s="105">
        <v>444</v>
      </c>
      <c r="O148" s="104">
        <v>0</v>
      </c>
      <c r="P148" s="106">
        <v>0</v>
      </c>
      <c r="Q148" s="106"/>
      <c r="R148" s="106"/>
      <c r="S148" s="106">
        <v>444</v>
      </c>
      <c r="T148" s="107">
        <v>444</v>
      </c>
      <c r="U148" s="16">
        <f t="shared" si="5"/>
        <v>-51</v>
      </c>
    </row>
    <row r="149" spans="1:21">
      <c r="A149" s="56">
        <v>143</v>
      </c>
      <c r="B149" s="102" t="s">
        <v>378</v>
      </c>
      <c r="C149" s="103" t="s">
        <v>237</v>
      </c>
      <c r="D149" s="14">
        <f t="shared" si="4"/>
        <v>318.39</v>
      </c>
      <c r="E149" s="104">
        <v>318.39</v>
      </c>
      <c r="F149" s="104"/>
      <c r="G149" s="104"/>
      <c r="H149" s="104"/>
      <c r="I149" s="104"/>
      <c r="J149" s="104"/>
      <c r="K149" s="104"/>
      <c r="L149" s="104"/>
      <c r="M149" s="104">
        <v>552</v>
      </c>
      <c r="N149" s="105">
        <v>552</v>
      </c>
      <c r="O149" s="104">
        <v>0</v>
      </c>
      <c r="P149" s="106">
        <v>0</v>
      </c>
      <c r="Q149" s="106"/>
      <c r="R149" s="106"/>
      <c r="S149" s="106">
        <v>552</v>
      </c>
      <c r="T149" s="107">
        <v>552</v>
      </c>
      <c r="U149" s="16">
        <f t="shared" si="5"/>
        <v>57</v>
      </c>
    </row>
    <row r="150" spans="1:21">
      <c r="A150" s="56">
        <v>144</v>
      </c>
      <c r="B150" s="102" t="s">
        <v>379</v>
      </c>
      <c r="C150" s="103" t="s">
        <v>237</v>
      </c>
      <c r="D150" s="14">
        <f t="shared" si="4"/>
        <v>277.25</v>
      </c>
      <c r="E150" s="104">
        <v>277.25</v>
      </c>
      <c r="F150" s="104"/>
      <c r="G150" s="104"/>
      <c r="H150" s="104"/>
      <c r="I150" s="104"/>
      <c r="J150" s="104"/>
      <c r="K150" s="104"/>
      <c r="L150" s="104"/>
      <c r="M150" s="104">
        <v>662</v>
      </c>
      <c r="N150" s="105">
        <v>662</v>
      </c>
      <c r="O150" s="104">
        <v>0</v>
      </c>
      <c r="P150" s="106">
        <v>0</v>
      </c>
      <c r="Q150" s="106"/>
      <c r="R150" s="106"/>
      <c r="S150" s="106">
        <v>662</v>
      </c>
      <c r="T150" s="107">
        <v>662</v>
      </c>
      <c r="U150" s="16">
        <f t="shared" si="5"/>
        <v>167</v>
      </c>
    </row>
    <row r="151" spans="1:21">
      <c r="A151" s="56">
        <v>145</v>
      </c>
      <c r="B151" s="108" t="s">
        <v>380</v>
      </c>
      <c r="C151" s="13" t="s">
        <v>237</v>
      </c>
      <c r="D151" s="14">
        <f t="shared" si="4"/>
        <v>0</v>
      </c>
      <c r="E151" s="106">
        <v>0</v>
      </c>
      <c r="F151" s="106"/>
      <c r="G151" s="106"/>
      <c r="H151" s="106">
        <v>0</v>
      </c>
      <c r="I151" s="106"/>
      <c r="J151" s="106"/>
      <c r="K151" s="106"/>
      <c r="L151" s="106"/>
      <c r="M151" s="106">
        <v>234</v>
      </c>
      <c r="N151" s="109">
        <v>113</v>
      </c>
      <c r="O151" s="106"/>
      <c r="P151" s="106">
        <v>0</v>
      </c>
      <c r="Q151" s="106"/>
      <c r="R151" s="106"/>
      <c r="S151" s="106">
        <v>234</v>
      </c>
      <c r="T151" s="107">
        <v>234</v>
      </c>
      <c r="U151" s="16">
        <f t="shared" si="5"/>
        <v>-261</v>
      </c>
    </row>
    <row r="152" spans="1:21">
      <c r="A152" s="56">
        <v>146</v>
      </c>
      <c r="B152" s="108" t="s">
        <v>381</v>
      </c>
      <c r="C152" s="13" t="s">
        <v>239</v>
      </c>
      <c r="D152" s="14">
        <f t="shared" si="4"/>
        <v>409.99</v>
      </c>
      <c r="E152" s="106">
        <v>321.69</v>
      </c>
      <c r="F152" s="106"/>
      <c r="G152" s="106"/>
      <c r="H152" s="106">
        <v>88.3</v>
      </c>
      <c r="I152" s="106"/>
      <c r="J152" s="106"/>
      <c r="K152" s="106"/>
      <c r="L152" s="106"/>
      <c r="M152" s="106">
        <v>0</v>
      </c>
      <c r="N152" s="109">
        <v>0</v>
      </c>
      <c r="O152" s="106">
        <v>0</v>
      </c>
      <c r="P152" s="106">
        <v>0</v>
      </c>
      <c r="Q152" s="106"/>
      <c r="R152" s="106"/>
      <c r="S152" s="106">
        <v>0</v>
      </c>
      <c r="T152" s="107">
        <v>0</v>
      </c>
      <c r="U152" s="16">
        <f t="shared" si="5"/>
        <v>-495</v>
      </c>
    </row>
    <row r="153" spans="1:21">
      <c r="A153" s="56">
        <v>147</v>
      </c>
      <c r="B153" s="102" t="s">
        <v>382</v>
      </c>
      <c r="C153" s="103" t="s">
        <v>237</v>
      </c>
      <c r="D153" s="14">
        <f t="shared" si="4"/>
        <v>242.85999999999999</v>
      </c>
      <c r="E153" s="104">
        <v>242.85999999999999</v>
      </c>
      <c r="F153" s="104"/>
      <c r="G153" s="104"/>
      <c r="H153" s="104"/>
      <c r="I153" s="104"/>
      <c r="J153" s="104"/>
      <c r="K153" s="104"/>
      <c r="L153" s="104"/>
      <c r="M153" s="104">
        <v>631</v>
      </c>
      <c r="N153" s="105">
        <v>631</v>
      </c>
      <c r="O153" s="104">
        <v>0</v>
      </c>
      <c r="P153" s="106">
        <v>0</v>
      </c>
      <c r="Q153" s="106"/>
      <c r="R153" s="106"/>
      <c r="S153" s="106">
        <v>631</v>
      </c>
      <c r="T153" s="107">
        <v>631</v>
      </c>
      <c r="U153" s="16">
        <f t="shared" si="5"/>
        <v>136</v>
      </c>
    </row>
    <row r="154" spans="1:21">
      <c r="A154" s="56">
        <v>148</v>
      </c>
      <c r="B154" s="108" t="s">
        <v>383</v>
      </c>
      <c r="C154" s="13" t="s">
        <v>239</v>
      </c>
      <c r="D154" s="14">
        <f t="shared" si="4"/>
        <v>219.37</v>
      </c>
      <c r="E154" s="106"/>
      <c r="F154" s="106"/>
      <c r="G154" s="106"/>
      <c r="H154" s="106">
        <v>219.37</v>
      </c>
      <c r="I154" s="106"/>
      <c r="J154" s="106"/>
      <c r="K154" s="106"/>
      <c r="L154" s="106"/>
      <c r="M154" s="106">
        <v>0</v>
      </c>
      <c r="N154" s="109">
        <v>0</v>
      </c>
      <c r="O154" s="106">
        <v>1585</v>
      </c>
      <c r="P154" s="106">
        <v>0</v>
      </c>
      <c r="Q154" s="106"/>
      <c r="R154" s="106"/>
      <c r="S154" s="106">
        <v>1585</v>
      </c>
      <c r="T154" s="107">
        <v>1585</v>
      </c>
      <c r="U154" s="16">
        <f t="shared" si="5"/>
        <v>-495</v>
      </c>
    </row>
    <row r="155" spans="1:21">
      <c r="A155" s="56">
        <v>149</v>
      </c>
      <c r="B155" s="102" t="s">
        <v>384</v>
      </c>
      <c r="C155" s="103" t="s">
        <v>237</v>
      </c>
      <c r="D155" s="14">
        <f t="shared" si="4"/>
        <v>381.53999999999996</v>
      </c>
      <c r="E155" s="104">
        <v>381.53999999999996</v>
      </c>
      <c r="F155" s="104"/>
      <c r="G155" s="104"/>
      <c r="H155" s="104"/>
      <c r="I155" s="104"/>
      <c r="J155" s="104"/>
      <c r="K155" s="104"/>
      <c r="L155" s="104"/>
      <c r="M155" s="104">
        <v>954</v>
      </c>
      <c r="N155" s="105">
        <v>954</v>
      </c>
      <c r="O155" s="104">
        <v>0</v>
      </c>
      <c r="P155" s="106">
        <v>0</v>
      </c>
      <c r="Q155" s="106"/>
      <c r="R155" s="106"/>
      <c r="S155" s="106">
        <v>954</v>
      </c>
      <c r="T155" s="107">
        <v>954</v>
      </c>
      <c r="U155" s="16">
        <f t="shared" si="5"/>
        <v>459</v>
      </c>
    </row>
    <row r="156" spans="1:21">
      <c r="A156" s="56">
        <v>150</v>
      </c>
      <c r="B156" s="108" t="s">
        <v>385</v>
      </c>
      <c r="C156" s="13" t="s">
        <v>239</v>
      </c>
      <c r="D156" s="14">
        <f t="shared" si="4"/>
        <v>277.94999999999993</v>
      </c>
      <c r="E156" s="106">
        <v>277.94999999999993</v>
      </c>
      <c r="F156" s="106"/>
      <c r="G156" s="106"/>
      <c r="H156" s="106"/>
      <c r="I156" s="106"/>
      <c r="J156" s="106"/>
      <c r="K156" s="106"/>
      <c r="L156" s="106"/>
      <c r="M156" s="106">
        <v>482</v>
      </c>
      <c r="N156" s="109">
        <v>482</v>
      </c>
      <c r="O156" s="106">
        <v>0</v>
      </c>
      <c r="P156" s="106">
        <v>0</v>
      </c>
      <c r="Q156" s="106"/>
      <c r="R156" s="106"/>
      <c r="S156" s="106">
        <v>482</v>
      </c>
      <c r="T156" s="107">
        <v>482</v>
      </c>
      <c r="U156" s="16">
        <f t="shared" si="5"/>
        <v>-13</v>
      </c>
    </row>
    <row r="157" spans="1:21">
      <c r="A157" s="56">
        <v>151</v>
      </c>
      <c r="B157" s="108" t="s">
        <v>386</v>
      </c>
      <c r="C157" s="13" t="s">
        <v>239</v>
      </c>
      <c r="D157" s="14">
        <f t="shared" si="4"/>
        <v>331.96999999999997</v>
      </c>
      <c r="E157" s="106">
        <v>331.96999999999997</v>
      </c>
      <c r="F157" s="106"/>
      <c r="G157" s="106"/>
      <c r="H157" s="106"/>
      <c r="I157" s="106"/>
      <c r="J157" s="106"/>
      <c r="K157" s="106"/>
      <c r="L157" s="106"/>
      <c r="M157" s="106">
        <v>1063</v>
      </c>
      <c r="N157" s="109">
        <v>1063</v>
      </c>
      <c r="O157" s="106">
        <v>0</v>
      </c>
      <c r="P157" s="106">
        <v>0</v>
      </c>
      <c r="Q157" s="106"/>
      <c r="R157" s="106"/>
      <c r="S157" s="106">
        <v>1063</v>
      </c>
      <c r="T157" s="107">
        <v>1063</v>
      </c>
      <c r="U157" s="16">
        <f t="shared" si="5"/>
        <v>568</v>
      </c>
    </row>
    <row r="158" spans="1:21">
      <c r="A158" s="56">
        <v>152</v>
      </c>
      <c r="B158" s="108" t="s">
        <v>387</v>
      </c>
      <c r="C158" s="13" t="s">
        <v>239</v>
      </c>
      <c r="D158" s="14">
        <f t="shared" si="4"/>
        <v>146.25</v>
      </c>
      <c r="E158" s="106">
        <v>146.25</v>
      </c>
      <c r="F158" s="106"/>
      <c r="G158" s="106"/>
      <c r="H158" s="106"/>
      <c r="I158" s="106"/>
      <c r="J158" s="106"/>
      <c r="K158" s="106"/>
      <c r="L158" s="106"/>
      <c r="M158" s="106">
        <v>296</v>
      </c>
      <c r="N158" s="109">
        <v>296</v>
      </c>
      <c r="O158" s="106">
        <v>0</v>
      </c>
      <c r="P158" s="106">
        <v>0</v>
      </c>
      <c r="Q158" s="106"/>
      <c r="R158" s="106"/>
      <c r="S158" s="106">
        <v>296</v>
      </c>
      <c r="T158" s="107">
        <v>296</v>
      </c>
      <c r="U158" s="16">
        <f t="shared" si="5"/>
        <v>-199</v>
      </c>
    </row>
    <row r="159" spans="1:21">
      <c r="A159" s="56">
        <v>153</v>
      </c>
      <c r="B159" s="108" t="s">
        <v>388</v>
      </c>
      <c r="C159" s="13" t="s">
        <v>239</v>
      </c>
      <c r="D159" s="14">
        <f t="shared" si="4"/>
        <v>321.58999999999997</v>
      </c>
      <c r="E159" s="106">
        <v>321.58999999999997</v>
      </c>
      <c r="F159" s="106"/>
      <c r="G159" s="106"/>
      <c r="H159" s="106"/>
      <c r="I159" s="106"/>
      <c r="J159" s="106"/>
      <c r="K159" s="106"/>
      <c r="L159" s="106"/>
      <c r="M159" s="106">
        <v>4728</v>
      </c>
      <c r="N159" s="109">
        <v>4728</v>
      </c>
      <c r="O159" s="106">
        <v>0</v>
      </c>
      <c r="P159" s="106">
        <v>0</v>
      </c>
      <c r="Q159" s="106"/>
      <c r="R159" s="106"/>
      <c r="S159" s="106">
        <v>4728</v>
      </c>
      <c r="T159" s="107">
        <v>4728</v>
      </c>
      <c r="U159" s="16">
        <f t="shared" si="5"/>
        <v>4233</v>
      </c>
    </row>
    <row r="160" spans="1:21">
      <c r="A160" s="56">
        <v>154</v>
      </c>
      <c r="B160" s="108" t="s">
        <v>389</v>
      </c>
      <c r="C160" s="13" t="s">
        <v>239</v>
      </c>
      <c r="D160" s="14">
        <f t="shared" si="4"/>
        <v>307.58</v>
      </c>
      <c r="E160" s="106">
        <v>307.58</v>
      </c>
      <c r="F160" s="106"/>
      <c r="G160" s="106"/>
      <c r="H160" s="106"/>
      <c r="I160" s="106"/>
      <c r="J160" s="106"/>
      <c r="K160" s="106"/>
      <c r="L160" s="106"/>
      <c r="M160" s="106">
        <v>0</v>
      </c>
      <c r="N160" s="109">
        <v>0</v>
      </c>
      <c r="O160" s="106">
        <v>0</v>
      </c>
      <c r="P160" s="106">
        <v>0</v>
      </c>
      <c r="Q160" s="106"/>
      <c r="R160" s="106"/>
      <c r="S160" s="106"/>
      <c r="T160" s="107">
        <v>0</v>
      </c>
      <c r="U160" s="16">
        <f t="shared" si="5"/>
        <v>-495</v>
      </c>
    </row>
    <row r="161" spans="1:21">
      <c r="A161" s="56">
        <v>155</v>
      </c>
      <c r="B161" s="108" t="s">
        <v>390</v>
      </c>
      <c r="C161" s="13" t="s">
        <v>239</v>
      </c>
      <c r="D161" s="14">
        <f t="shared" si="4"/>
        <v>380.66999999999996</v>
      </c>
      <c r="E161" s="106">
        <v>380.66999999999996</v>
      </c>
      <c r="F161" s="106"/>
      <c r="G161" s="106"/>
      <c r="H161" s="106"/>
      <c r="I161" s="106"/>
      <c r="J161" s="106"/>
      <c r="K161" s="106"/>
      <c r="L161" s="106"/>
      <c r="M161" s="106">
        <v>0</v>
      </c>
      <c r="N161" s="109">
        <v>0</v>
      </c>
      <c r="O161" s="106">
        <v>0</v>
      </c>
      <c r="P161" s="106">
        <v>0</v>
      </c>
      <c r="Q161" s="106"/>
      <c r="R161" s="106"/>
      <c r="S161" s="106"/>
      <c r="T161" s="107">
        <v>0</v>
      </c>
      <c r="U161" s="16">
        <f t="shared" si="5"/>
        <v>-495</v>
      </c>
    </row>
    <row r="162" spans="1:21">
      <c r="A162" s="56">
        <v>156</v>
      </c>
      <c r="B162" s="108" t="s">
        <v>424</v>
      </c>
      <c r="C162" s="13" t="s">
        <v>239</v>
      </c>
      <c r="D162" s="14">
        <f t="shared" si="4"/>
        <v>0</v>
      </c>
      <c r="E162" s="106"/>
      <c r="F162" s="106"/>
      <c r="G162" s="106"/>
      <c r="H162" s="106"/>
      <c r="I162" s="106"/>
      <c r="J162" s="106"/>
      <c r="K162" s="106"/>
      <c r="L162" s="106"/>
      <c r="M162" s="106"/>
      <c r="N162" s="109"/>
      <c r="O162" s="106"/>
      <c r="P162" s="106"/>
      <c r="Q162" s="106"/>
      <c r="R162" s="106"/>
      <c r="S162" s="106"/>
      <c r="T162" s="107"/>
      <c r="U162" s="16">
        <f t="shared" si="5"/>
        <v>-495</v>
      </c>
    </row>
    <row r="163" spans="1:21">
      <c r="A163" s="56">
        <v>157</v>
      </c>
      <c r="B163" s="108" t="s">
        <v>391</v>
      </c>
      <c r="C163" s="13" t="s">
        <v>239</v>
      </c>
      <c r="D163" s="14">
        <f t="shared" si="4"/>
        <v>179.34</v>
      </c>
      <c r="E163" s="106"/>
      <c r="F163" s="106"/>
      <c r="G163" s="106"/>
      <c r="H163" s="106">
        <v>179.34</v>
      </c>
      <c r="I163" s="106"/>
      <c r="J163" s="106"/>
      <c r="K163" s="106"/>
      <c r="L163" s="106"/>
      <c r="M163" s="106">
        <v>0</v>
      </c>
      <c r="N163" s="109">
        <v>0</v>
      </c>
      <c r="O163" s="106">
        <v>872</v>
      </c>
      <c r="P163" s="106">
        <v>0</v>
      </c>
      <c r="Q163" s="106"/>
      <c r="R163" s="106"/>
      <c r="S163" s="106">
        <v>872</v>
      </c>
      <c r="T163" s="118">
        <v>872</v>
      </c>
      <c r="U163" s="16">
        <f t="shared" si="5"/>
        <v>-495</v>
      </c>
    </row>
    <row r="164" spans="1:21">
      <c r="A164" s="56">
        <v>158</v>
      </c>
      <c r="B164" s="108" t="s">
        <v>392</v>
      </c>
      <c r="C164" s="13" t="s">
        <v>239</v>
      </c>
      <c r="D164" s="14">
        <f t="shared" si="4"/>
        <v>338.90999999999997</v>
      </c>
      <c r="E164" s="106">
        <v>338.90999999999997</v>
      </c>
      <c r="F164" s="106"/>
      <c r="G164" s="106"/>
      <c r="H164" s="106"/>
      <c r="I164" s="106"/>
      <c r="J164" s="106"/>
      <c r="K164" s="106"/>
      <c r="L164" s="106"/>
      <c r="M164" s="106">
        <v>614</v>
      </c>
      <c r="N164" s="109">
        <v>614</v>
      </c>
      <c r="O164" s="106">
        <v>0</v>
      </c>
      <c r="P164" s="106">
        <v>0</v>
      </c>
      <c r="Q164" s="106"/>
      <c r="R164" s="106"/>
      <c r="S164" s="106"/>
      <c r="T164" s="118">
        <v>614</v>
      </c>
      <c r="U164" s="16">
        <f t="shared" si="5"/>
        <v>119</v>
      </c>
    </row>
    <row r="165" spans="1:21">
      <c r="A165" s="56">
        <v>159</v>
      </c>
      <c r="B165" s="108" t="s">
        <v>393</v>
      </c>
      <c r="C165" s="13" t="s">
        <v>239</v>
      </c>
      <c r="D165" s="14">
        <f t="shared" si="4"/>
        <v>473.6</v>
      </c>
      <c r="E165" s="106">
        <v>473.6</v>
      </c>
      <c r="F165" s="106"/>
      <c r="G165" s="106"/>
      <c r="H165" s="106"/>
      <c r="I165" s="106"/>
      <c r="J165" s="106"/>
      <c r="K165" s="106"/>
      <c r="L165" s="106"/>
      <c r="M165" s="106">
        <v>824</v>
      </c>
      <c r="N165" s="109">
        <v>824</v>
      </c>
      <c r="O165" s="106">
        <v>0</v>
      </c>
      <c r="P165" s="106">
        <v>0</v>
      </c>
      <c r="Q165" s="106"/>
      <c r="R165" s="106"/>
      <c r="S165" s="106">
        <v>824</v>
      </c>
      <c r="T165" s="107">
        <v>824</v>
      </c>
      <c r="U165" s="16">
        <f t="shared" si="5"/>
        <v>329</v>
      </c>
    </row>
    <row r="166" spans="1:21">
      <c r="A166" s="56">
        <v>160</v>
      </c>
      <c r="B166" s="108" t="s">
        <v>394</v>
      </c>
      <c r="C166" s="13" t="s">
        <v>239</v>
      </c>
      <c r="D166" s="14">
        <f t="shared" si="4"/>
        <v>196.72</v>
      </c>
      <c r="E166" s="106">
        <v>196.72</v>
      </c>
      <c r="F166" s="106"/>
      <c r="G166" s="106"/>
      <c r="H166" s="106"/>
      <c r="I166" s="106"/>
      <c r="J166" s="106"/>
      <c r="K166" s="106"/>
      <c r="L166" s="106"/>
      <c r="M166" s="106">
        <v>703</v>
      </c>
      <c r="N166" s="109">
        <v>703</v>
      </c>
      <c r="O166" s="106">
        <v>0</v>
      </c>
      <c r="P166" s="106">
        <v>0</v>
      </c>
      <c r="Q166" s="106"/>
      <c r="R166" s="106"/>
      <c r="S166" s="106">
        <v>703</v>
      </c>
      <c r="T166" s="107">
        <v>703</v>
      </c>
      <c r="U166" s="16">
        <f t="shared" si="5"/>
        <v>208</v>
      </c>
    </row>
    <row r="167" spans="1:21">
      <c r="A167" s="56">
        <v>161</v>
      </c>
      <c r="B167" s="108" t="s">
        <v>395</v>
      </c>
      <c r="C167" s="13" t="s">
        <v>239</v>
      </c>
      <c r="D167" s="14">
        <f t="shared" si="4"/>
        <v>679.07</v>
      </c>
      <c r="E167" s="106">
        <v>679.07</v>
      </c>
      <c r="F167" s="106"/>
      <c r="G167" s="106"/>
      <c r="H167" s="106"/>
      <c r="I167" s="106"/>
      <c r="J167" s="106"/>
      <c r="K167" s="106"/>
      <c r="L167" s="106"/>
      <c r="M167" s="106">
        <v>1034</v>
      </c>
      <c r="N167" s="109">
        <v>1034</v>
      </c>
      <c r="O167" s="106">
        <v>0</v>
      </c>
      <c r="P167" s="106">
        <v>0</v>
      </c>
      <c r="Q167" s="106"/>
      <c r="R167" s="106"/>
      <c r="S167" s="106">
        <v>1034</v>
      </c>
      <c r="T167" s="107">
        <v>1034</v>
      </c>
      <c r="U167" s="16">
        <f t="shared" si="5"/>
        <v>539</v>
      </c>
    </row>
    <row r="168" spans="1:21">
      <c r="A168" s="56">
        <v>162</v>
      </c>
      <c r="B168" s="108" t="s">
        <v>396</v>
      </c>
      <c r="C168" s="13" t="s">
        <v>239</v>
      </c>
      <c r="D168" s="14">
        <f t="shared" si="4"/>
        <v>540.14</v>
      </c>
      <c r="E168" s="106">
        <v>516.14</v>
      </c>
      <c r="F168" s="106"/>
      <c r="G168" s="106"/>
      <c r="H168" s="106">
        <v>24</v>
      </c>
      <c r="I168" s="106"/>
      <c r="J168" s="106"/>
      <c r="K168" s="106"/>
      <c r="L168" s="106"/>
      <c r="M168" s="106">
        <v>1318</v>
      </c>
      <c r="N168" s="109">
        <v>1318</v>
      </c>
      <c r="O168" s="106">
        <v>63</v>
      </c>
      <c r="P168" s="106">
        <v>0</v>
      </c>
      <c r="Q168" s="106"/>
      <c r="R168" s="106"/>
      <c r="S168" s="106">
        <v>1381</v>
      </c>
      <c r="T168" s="107">
        <v>1381</v>
      </c>
      <c r="U168" s="16">
        <f t="shared" si="5"/>
        <v>823</v>
      </c>
    </row>
    <row r="169" spans="1:21">
      <c r="A169" s="56">
        <v>163</v>
      </c>
      <c r="B169" s="108" t="s">
        <v>397</v>
      </c>
      <c r="C169" s="13" t="s">
        <v>239</v>
      </c>
      <c r="D169" s="14">
        <f t="shared" si="4"/>
        <v>1354.6599999999999</v>
      </c>
      <c r="E169" s="106">
        <v>1302.6599999999999</v>
      </c>
      <c r="F169" s="106"/>
      <c r="G169" s="106"/>
      <c r="H169" s="106">
        <v>52</v>
      </c>
      <c r="I169" s="106"/>
      <c r="J169" s="106"/>
      <c r="K169" s="106"/>
      <c r="L169" s="106"/>
      <c r="M169" s="106">
        <v>1043</v>
      </c>
      <c r="N169" s="109">
        <v>1043</v>
      </c>
      <c r="O169" s="106">
        <v>41</v>
      </c>
      <c r="P169" s="106">
        <v>0</v>
      </c>
      <c r="Q169" s="106"/>
      <c r="R169" s="106"/>
      <c r="S169" s="106">
        <v>1084</v>
      </c>
      <c r="T169" s="107">
        <v>1084</v>
      </c>
      <c r="U169" s="16">
        <f t="shared" si="5"/>
        <v>548</v>
      </c>
    </row>
    <row r="170" spans="1:21">
      <c r="A170" s="56">
        <v>164</v>
      </c>
      <c r="B170" s="108" t="s">
        <v>398</v>
      </c>
      <c r="C170" s="13" t="s">
        <v>239</v>
      </c>
      <c r="D170" s="14">
        <f t="shared" si="4"/>
        <v>240.29</v>
      </c>
      <c r="E170" s="106">
        <v>240.29</v>
      </c>
      <c r="F170" s="106"/>
      <c r="G170" s="106"/>
      <c r="H170" s="106"/>
      <c r="I170" s="106"/>
      <c r="J170" s="106"/>
      <c r="K170" s="106"/>
      <c r="L170" s="106"/>
      <c r="M170" s="106">
        <v>2413</v>
      </c>
      <c r="N170" s="109">
        <v>2413</v>
      </c>
      <c r="O170" s="106">
        <v>0</v>
      </c>
      <c r="P170" s="106">
        <v>0</v>
      </c>
      <c r="Q170" s="106"/>
      <c r="R170" s="106"/>
      <c r="S170" s="106">
        <v>2413</v>
      </c>
      <c r="T170" s="107">
        <v>2413</v>
      </c>
      <c r="U170" s="16">
        <f t="shared" si="5"/>
        <v>1918</v>
      </c>
    </row>
    <row r="171" spans="1:21">
      <c r="A171" s="56">
        <v>165</v>
      </c>
      <c r="B171" s="108" t="s">
        <v>399</v>
      </c>
      <c r="C171" s="13" t="s">
        <v>239</v>
      </c>
      <c r="D171" s="14">
        <f t="shared" si="4"/>
        <v>428.28000000000009</v>
      </c>
      <c r="E171" s="106">
        <v>351.78000000000003</v>
      </c>
      <c r="F171" s="106"/>
      <c r="G171" s="106"/>
      <c r="H171" s="106">
        <v>76.500000000000028</v>
      </c>
      <c r="I171" s="106"/>
      <c r="J171" s="106"/>
      <c r="K171" s="106"/>
      <c r="L171" s="106"/>
      <c r="M171" s="106">
        <v>2081</v>
      </c>
      <c r="N171" s="109">
        <v>2081</v>
      </c>
      <c r="O171" s="106">
        <v>453</v>
      </c>
      <c r="P171" s="106">
        <v>0</v>
      </c>
      <c r="Q171" s="106"/>
      <c r="R171" s="106"/>
      <c r="S171" s="106">
        <v>2534</v>
      </c>
      <c r="T171" s="107">
        <v>2534</v>
      </c>
      <c r="U171" s="16">
        <f t="shared" si="5"/>
        <v>1586</v>
      </c>
    </row>
    <row r="172" spans="1:21">
      <c r="A172" s="56">
        <v>166</v>
      </c>
      <c r="B172" s="108" t="s">
        <v>400</v>
      </c>
      <c r="C172" s="13" t="s">
        <v>239</v>
      </c>
      <c r="D172" s="14">
        <f t="shared" si="4"/>
        <v>1990.7499999999998</v>
      </c>
      <c r="E172" s="106">
        <v>1545.9199999999998</v>
      </c>
      <c r="F172" s="106"/>
      <c r="G172" s="106"/>
      <c r="H172" s="106">
        <v>444.83</v>
      </c>
      <c r="I172" s="106"/>
      <c r="J172" s="106"/>
      <c r="K172" s="106"/>
      <c r="L172" s="106"/>
      <c r="M172" s="106">
        <v>2110</v>
      </c>
      <c r="N172" s="109">
        <v>2110</v>
      </c>
      <c r="O172" s="106">
        <v>876</v>
      </c>
      <c r="P172" s="106">
        <v>0</v>
      </c>
      <c r="Q172" s="106"/>
      <c r="R172" s="106"/>
      <c r="S172" s="106">
        <v>2986</v>
      </c>
      <c r="T172" s="107">
        <v>2986</v>
      </c>
      <c r="U172" s="16">
        <f t="shared" si="5"/>
        <v>1615</v>
      </c>
    </row>
    <row r="173" spans="1:21">
      <c r="A173" s="56">
        <v>167</v>
      </c>
      <c r="B173" s="102" t="s">
        <v>401</v>
      </c>
      <c r="C173" s="103" t="s">
        <v>237</v>
      </c>
      <c r="D173" s="14">
        <f t="shared" si="4"/>
        <v>182.76000000000002</v>
      </c>
      <c r="E173" s="104">
        <v>182.76000000000002</v>
      </c>
      <c r="F173" s="104"/>
      <c r="G173" s="104"/>
      <c r="H173" s="104"/>
      <c r="I173" s="104"/>
      <c r="J173" s="104"/>
      <c r="K173" s="104"/>
      <c r="L173" s="104"/>
      <c r="M173" s="104">
        <v>340</v>
      </c>
      <c r="N173" s="105">
        <v>340</v>
      </c>
      <c r="O173" s="104">
        <v>0</v>
      </c>
      <c r="P173" s="106">
        <v>0</v>
      </c>
      <c r="Q173" s="106"/>
      <c r="R173" s="106"/>
      <c r="S173" s="106">
        <v>340</v>
      </c>
      <c r="T173" s="107">
        <v>340</v>
      </c>
      <c r="U173" s="16">
        <f t="shared" si="5"/>
        <v>-155</v>
      </c>
    </row>
    <row r="174" spans="1:21">
      <c r="A174" s="56">
        <v>168</v>
      </c>
      <c r="B174" s="102" t="s">
        <v>402</v>
      </c>
      <c r="C174" s="103" t="s">
        <v>237</v>
      </c>
      <c r="D174" s="14">
        <f t="shared" si="4"/>
        <v>641.89</v>
      </c>
      <c r="E174" s="104">
        <v>641.89</v>
      </c>
      <c r="F174" s="104"/>
      <c r="G174" s="104"/>
      <c r="H174" s="104"/>
      <c r="I174" s="104"/>
      <c r="J174" s="104"/>
      <c r="K174" s="104"/>
      <c r="L174" s="104"/>
      <c r="M174" s="104">
        <v>975</v>
      </c>
      <c r="N174" s="105">
        <v>975</v>
      </c>
      <c r="O174" s="104">
        <v>0</v>
      </c>
      <c r="P174" s="106">
        <v>0</v>
      </c>
      <c r="Q174" s="106"/>
      <c r="R174" s="106"/>
      <c r="S174" s="106">
        <v>975</v>
      </c>
      <c r="T174" s="107">
        <v>975</v>
      </c>
      <c r="U174" s="16">
        <f t="shared" si="5"/>
        <v>480</v>
      </c>
    </row>
    <row r="175" spans="1:21">
      <c r="A175" s="56">
        <v>169</v>
      </c>
      <c r="B175" s="108" t="s">
        <v>403</v>
      </c>
      <c r="C175" s="13" t="s">
        <v>239</v>
      </c>
      <c r="D175" s="14">
        <f t="shared" si="4"/>
        <v>274.68999999999994</v>
      </c>
      <c r="E175" s="106">
        <v>274.68999999999994</v>
      </c>
      <c r="F175" s="106"/>
      <c r="G175" s="106"/>
      <c r="H175" s="106"/>
      <c r="I175" s="106"/>
      <c r="J175" s="106"/>
      <c r="K175" s="106"/>
      <c r="L175" s="106"/>
      <c r="M175" s="106">
        <v>714</v>
      </c>
      <c r="N175" s="109">
        <v>714</v>
      </c>
      <c r="O175" s="106">
        <v>0</v>
      </c>
      <c r="P175" s="106">
        <v>0</v>
      </c>
      <c r="Q175" s="106"/>
      <c r="R175" s="106"/>
      <c r="S175" s="106">
        <v>714</v>
      </c>
      <c r="T175" s="107">
        <v>714</v>
      </c>
      <c r="U175" s="16">
        <f t="shared" si="5"/>
        <v>219</v>
      </c>
    </row>
    <row r="176" spans="1:21">
      <c r="A176" s="56">
        <v>170</v>
      </c>
      <c r="B176" s="108" t="s">
        <v>404</v>
      </c>
      <c r="C176" s="13" t="s">
        <v>239</v>
      </c>
      <c r="D176" s="14">
        <f t="shared" si="4"/>
        <v>325.51</v>
      </c>
      <c r="E176" s="106">
        <v>270.69</v>
      </c>
      <c r="F176" s="106"/>
      <c r="G176" s="106"/>
      <c r="H176" s="106">
        <v>54.82</v>
      </c>
      <c r="I176" s="106"/>
      <c r="J176" s="106"/>
      <c r="K176" s="106"/>
      <c r="L176" s="106"/>
      <c r="M176" s="106">
        <v>332</v>
      </c>
      <c r="N176" s="109">
        <v>332</v>
      </c>
      <c r="O176" s="106">
        <v>68</v>
      </c>
      <c r="P176" s="106">
        <v>0</v>
      </c>
      <c r="Q176" s="106"/>
      <c r="R176" s="106"/>
      <c r="S176" s="106">
        <v>400</v>
      </c>
      <c r="T176" s="107">
        <v>400</v>
      </c>
      <c r="U176" s="16">
        <f t="shared" si="5"/>
        <v>-163</v>
      </c>
    </row>
    <row r="177" spans="1:21">
      <c r="A177" s="56">
        <v>171</v>
      </c>
      <c r="B177" s="102" t="s">
        <v>405</v>
      </c>
      <c r="C177" s="103" t="s">
        <v>237</v>
      </c>
      <c r="D177" s="14">
        <f t="shared" si="4"/>
        <v>332.22999999999996</v>
      </c>
      <c r="E177" s="104">
        <v>288.21999999999997</v>
      </c>
      <c r="F177" s="104"/>
      <c r="G177" s="104"/>
      <c r="H177" s="104">
        <v>44.01</v>
      </c>
      <c r="I177" s="104"/>
      <c r="J177" s="104"/>
      <c r="K177" s="104"/>
      <c r="L177" s="104"/>
      <c r="M177" s="104">
        <v>236</v>
      </c>
      <c r="N177" s="105">
        <v>236</v>
      </c>
      <c r="O177" s="104">
        <v>36</v>
      </c>
      <c r="P177" s="106">
        <v>0</v>
      </c>
      <c r="Q177" s="106"/>
      <c r="R177" s="106"/>
      <c r="S177" s="106">
        <v>272</v>
      </c>
      <c r="T177" s="107">
        <v>272</v>
      </c>
      <c r="U177" s="16">
        <f t="shared" si="5"/>
        <v>-259</v>
      </c>
    </row>
    <row r="178" spans="1:21">
      <c r="A178" s="56">
        <v>172</v>
      </c>
      <c r="B178" s="108" t="s">
        <v>406</v>
      </c>
      <c r="C178" s="13" t="s">
        <v>237</v>
      </c>
      <c r="D178" s="14">
        <f t="shared" si="4"/>
        <v>312.04000000000002</v>
      </c>
      <c r="E178" s="106">
        <v>312.04000000000002</v>
      </c>
      <c r="F178" s="106"/>
      <c r="G178" s="106"/>
      <c r="H178" s="106"/>
      <c r="I178" s="106"/>
      <c r="J178" s="106"/>
      <c r="K178" s="106"/>
      <c r="L178" s="106"/>
      <c r="M178" s="106">
        <v>404</v>
      </c>
      <c r="N178" s="109">
        <v>404</v>
      </c>
      <c r="O178" s="106">
        <v>0</v>
      </c>
      <c r="P178" s="106">
        <v>0</v>
      </c>
      <c r="Q178" s="106"/>
      <c r="R178" s="106"/>
      <c r="S178" s="106">
        <v>404</v>
      </c>
      <c r="T178" s="107">
        <v>404</v>
      </c>
      <c r="U178" s="16">
        <f t="shared" si="5"/>
        <v>-91</v>
      </c>
    </row>
    <row r="179" spans="1:21">
      <c r="A179" s="56">
        <v>173</v>
      </c>
      <c r="B179" s="108" t="s">
        <v>407</v>
      </c>
      <c r="C179" s="13" t="s">
        <v>239</v>
      </c>
      <c r="D179" s="14">
        <f t="shared" si="4"/>
        <v>205.37</v>
      </c>
      <c r="E179" s="106">
        <v>205.37</v>
      </c>
      <c r="F179" s="106"/>
      <c r="G179" s="106"/>
      <c r="H179" s="106"/>
      <c r="I179" s="106"/>
      <c r="J179" s="106"/>
      <c r="K179" s="106"/>
      <c r="L179" s="106"/>
      <c r="M179" s="106">
        <v>131</v>
      </c>
      <c r="N179" s="109">
        <v>131</v>
      </c>
      <c r="O179" s="106">
        <v>0</v>
      </c>
      <c r="P179" s="106">
        <v>0</v>
      </c>
      <c r="Q179" s="106"/>
      <c r="R179" s="106"/>
      <c r="S179" s="106">
        <v>131</v>
      </c>
      <c r="T179" s="107">
        <v>131</v>
      </c>
      <c r="U179" s="16">
        <f t="shared" si="5"/>
        <v>-364</v>
      </c>
    </row>
    <row r="180" spans="1:21">
      <c r="A180" s="56">
        <v>174</v>
      </c>
      <c r="B180" s="108" t="s">
        <v>408</v>
      </c>
      <c r="C180" s="13" t="s">
        <v>239</v>
      </c>
      <c r="D180" s="14">
        <f t="shared" si="4"/>
        <v>77.5</v>
      </c>
      <c r="E180" s="106">
        <v>77.5</v>
      </c>
      <c r="F180" s="106"/>
      <c r="G180" s="106"/>
      <c r="H180" s="106"/>
      <c r="I180" s="106"/>
      <c r="J180" s="106"/>
      <c r="K180" s="106"/>
      <c r="L180" s="106"/>
      <c r="M180" s="106">
        <v>105</v>
      </c>
      <c r="N180" s="109">
        <v>105</v>
      </c>
      <c r="O180" s="106">
        <v>0</v>
      </c>
      <c r="P180" s="106">
        <v>0</v>
      </c>
      <c r="Q180" s="106"/>
      <c r="R180" s="106"/>
      <c r="S180" s="106">
        <v>105</v>
      </c>
      <c r="T180" s="107">
        <v>105</v>
      </c>
      <c r="U180" s="16">
        <f t="shared" si="5"/>
        <v>-390</v>
      </c>
    </row>
    <row r="181" spans="1:21">
      <c r="A181" s="56">
        <v>175</v>
      </c>
      <c r="B181" s="108" t="s">
        <v>409</v>
      </c>
      <c r="C181" s="13" t="s">
        <v>239</v>
      </c>
      <c r="D181" s="14">
        <f t="shared" si="4"/>
        <v>641.99</v>
      </c>
      <c r="E181" s="106">
        <v>539.94000000000005</v>
      </c>
      <c r="F181" s="106"/>
      <c r="G181" s="106"/>
      <c r="H181" s="106">
        <v>102.05000000000001</v>
      </c>
      <c r="I181" s="106"/>
      <c r="J181" s="106"/>
      <c r="K181" s="106"/>
      <c r="L181" s="106"/>
      <c r="M181" s="106">
        <v>1006</v>
      </c>
      <c r="N181" s="109">
        <v>1006</v>
      </c>
      <c r="O181" s="106">
        <v>461</v>
      </c>
      <c r="P181" s="106">
        <v>0</v>
      </c>
      <c r="Q181" s="106"/>
      <c r="R181" s="106"/>
      <c r="S181" s="106">
        <v>1467</v>
      </c>
      <c r="T181" s="107">
        <v>1467</v>
      </c>
      <c r="U181" s="16">
        <f t="shared" si="5"/>
        <v>511</v>
      </c>
    </row>
    <row r="182" spans="1:21">
      <c r="A182" s="56">
        <v>176</v>
      </c>
      <c r="B182" s="108" t="s">
        <v>410</v>
      </c>
      <c r="C182" s="13" t="s">
        <v>239</v>
      </c>
      <c r="D182" s="14">
        <f t="shared" si="4"/>
        <v>186.31</v>
      </c>
      <c r="E182" s="106"/>
      <c r="F182" s="106"/>
      <c r="G182" s="106"/>
      <c r="H182" s="106">
        <v>186.31</v>
      </c>
      <c r="I182" s="106"/>
      <c r="J182" s="106"/>
      <c r="K182" s="106"/>
      <c r="L182" s="106"/>
      <c r="M182" s="106">
        <v>0</v>
      </c>
      <c r="N182" s="109">
        <v>0</v>
      </c>
      <c r="O182" s="106">
        <v>2752</v>
      </c>
      <c r="P182" s="106">
        <v>0</v>
      </c>
      <c r="Q182" s="106"/>
      <c r="R182" s="106"/>
      <c r="S182" s="106">
        <v>2752</v>
      </c>
      <c r="T182" s="107">
        <v>2752</v>
      </c>
      <c r="U182" s="16">
        <f t="shared" si="5"/>
        <v>-495</v>
      </c>
    </row>
    <row r="183" spans="1:21">
      <c r="A183" s="56">
        <v>177</v>
      </c>
      <c r="B183" s="108" t="s">
        <v>411</v>
      </c>
      <c r="C183" s="13" t="s">
        <v>239</v>
      </c>
      <c r="D183" s="14">
        <f t="shared" si="4"/>
        <v>436.12</v>
      </c>
      <c r="E183" s="106">
        <v>436.12</v>
      </c>
      <c r="F183" s="106"/>
      <c r="G183" s="106"/>
      <c r="H183" s="106"/>
      <c r="I183" s="106"/>
      <c r="J183" s="106"/>
      <c r="K183" s="106"/>
      <c r="L183" s="106"/>
      <c r="M183" s="106">
        <v>766</v>
      </c>
      <c r="N183" s="109">
        <v>766</v>
      </c>
      <c r="O183" s="106">
        <v>0</v>
      </c>
      <c r="P183" s="106">
        <v>0</v>
      </c>
      <c r="Q183" s="106"/>
      <c r="R183" s="106"/>
      <c r="S183" s="106">
        <v>766</v>
      </c>
      <c r="T183" s="107">
        <v>766</v>
      </c>
      <c r="U183" s="16">
        <f t="shared" si="5"/>
        <v>271</v>
      </c>
    </row>
    <row r="184" spans="1:21">
      <c r="A184" s="56">
        <v>178</v>
      </c>
      <c r="B184" s="108" t="s">
        <v>412</v>
      </c>
      <c r="C184" s="13" t="s">
        <v>239</v>
      </c>
      <c r="D184" s="14">
        <f t="shared" si="4"/>
        <v>2848.95</v>
      </c>
      <c r="E184" s="106">
        <v>2848.95</v>
      </c>
      <c r="F184" s="106"/>
      <c r="G184" s="106"/>
      <c r="H184" s="106"/>
      <c r="I184" s="106"/>
      <c r="J184" s="106"/>
      <c r="K184" s="106"/>
      <c r="L184" s="106"/>
      <c r="M184" s="106">
        <v>11908</v>
      </c>
      <c r="N184" s="109">
        <v>11908</v>
      </c>
      <c r="O184" s="106">
        <v>0</v>
      </c>
      <c r="P184" s="106">
        <v>0</v>
      </c>
      <c r="Q184" s="106"/>
      <c r="R184" s="106"/>
      <c r="S184" s="106">
        <v>11908</v>
      </c>
      <c r="T184" s="107">
        <v>11908</v>
      </c>
      <c r="U184" s="16">
        <f t="shared" si="5"/>
        <v>11413</v>
      </c>
    </row>
    <row r="185" spans="1:21">
      <c r="A185" s="56">
        <v>179</v>
      </c>
      <c r="B185" s="108" t="s">
        <v>413</v>
      </c>
      <c r="C185" s="13" t="s">
        <v>414</v>
      </c>
      <c r="D185" s="14">
        <f t="shared" si="4"/>
        <v>2822.04</v>
      </c>
      <c r="E185" s="106">
        <v>2822.04</v>
      </c>
      <c r="F185" s="106"/>
      <c r="G185" s="106"/>
      <c r="H185" s="106">
        <v>0</v>
      </c>
      <c r="I185" s="106"/>
      <c r="J185" s="106"/>
      <c r="K185" s="106"/>
      <c r="L185" s="106"/>
      <c r="M185" s="106">
        <v>16340</v>
      </c>
      <c r="N185" s="109">
        <v>16340</v>
      </c>
      <c r="O185" s="106">
        <v>0</v>
      </c>
      <c r="P185" s="106"/>
      <c r="Q185" s="106"/>
      <c r="R185" s="106"/>
      <c r="S185" s="106">
        <v>16340</v>
      </c>
      <c r="T185" s="107">
        <v>16340</v>
      </c>
      <c r="U185" s="16">
        <f t="shared" si="5"/>
        <v>15845</v>
      </c>
    </row>
    <row r="186" spans="1:21">
      <c r="A186" s="56">
        <v>180</v>
      </c>
      <c r="B186" s="108" t="s">
        <v>415</v>
      </c>
      <c r="C186" s="13" t="s">
        <v>416</v>
      </c>
      <c r="D186" s="14">
        <f t="shared" si="4"/>
        <v>2893.7200000000003</v>
      </c>
      <c r="E186" s="106">
        <v>2893.7200000000003</v>
      </c>
      <c r="F186" s="106"/>
      <c r="G186" s="106"/>
      <c r="H186" s="106"/>
      <c r="I186" s="106"/>
      <c r="J186" s="106"/>
      <c r="K186" s="106"/>
      <c r="L186" s="106"/>
      <c r="M186" s="106">
        <v>0</v>
      </c>
      <c r="N186" s="109"/>
      <c r="O186" s="106">
        <v>0</v>
      </c>
      <c r="P186" s="106"/>
      <c r="Q186" s="106"/>
      <c r="R186" s="106"/>
      <c r="S186" s="106">
        <v>0</v>
      </c>
      <c r="T186" s="107"/>
      <c r="U186" s="16">
        <f t="shared" si="5"/>
        <v>-495</v>
      </c>
    </row>
    <row r="187" spans="1:21">
      <c r="A187" s="56">
        <v>181</v>
      </c>
      <c r="B187" s="70" t="s">
        <v>423</v>
      </c>
      <c r="C187" s="127" t="s">
        <v>414</v>
      </c>
      <c r="D187" s="14">
        <f t="shared" si="4"/>
        <v>528.16</v>
      </c>
      <c r="E187" s="71">
        <v>528.16</v>
      </c>
      <c r="F187" s="71"/>
      <c r="G187" s="71"/>
      <c r="H187" s="71"/>
      <c r="I187" s="71"/>
      <c r="J187" s="71"/>
      <c r="K187" s="71"/>
      <c r="L187" s="71"/>
      <c r="M187" s="71">
        <v>10070</v>
      </c>
      <c r="N187" s="128"/>
      <c r="O187" s="71"/>
      <c r="P187" s="71"/>
      <c r="Q187" s="71"/>
      <c r="R187" s="71"/>
      <c r="S187" s="71"/>
      <c r="T187" s="117">
        <v>10070</v>
      </c>
      <c r="U187" s="16">
        <f t="shared" si="5"/>
        <v>9575</v>
      </c>
    </row>
    <row r="188" spans="1:21" ht="15">
      <c r="A188" s="56">
        <v>182</v>
      </c>
      <c r="B188" s="119" t="s">
        <v>417</v>
      </c>
      <c r="C188" s="120" t="s">
        <v>414</v>
      </c>
      <c r="D188" s="14">
        <f t="shared" si="4"/>
        <v>528.16</v>
      </c>
      <c r="E188" s="121">
        <v>528.16</v>
      </c>
      <c r="F188" s="121"/>
      <c r="G188" s="121"/>
      <c r="H188" s="121"/>
      <c r="I188" s="121"/>
      <c r="J188" s="121"/>
      <c r="K188" s="121"/>
      <c r="L188" s="121"/>
      <c r="M188" s="121">
        <v>8162</v>
      </c>
      <c r="N188" s="122">
        <v>8162</v>
      </c>
      <c r="O188" s="106">
        <v>0</v>
      </c>
      <c r="P188" s="121"/>
      <c r="Q188" s="121"/>
      <c r="R188" s="121"/>
      <c r="S188" s="121">
        <v>8162</v>
      </c>
      <c r="T188" s="123">
        <v>8162</v>
      </c>
      <c r="U188" s="16">
        <f t="shared" si="5"/>
        <v>7667</v>
      </c>
    </row>
    <row r="189" spans="1:21" ht="15">
      <c r="A189" s="56">
        <v>183</v>
      </c>
      <c r="B189" s="119" t="s">
        <v>418</v>
      </c>
      <c r="C189" s="120" t="s">
        <v>419</v>
      </c>
      <c r="D189" s="14">
        <f t="shared" si="4"/>
        <v>528.16</v>
      </c>
      <c r="E189" s="121">
        <v>528.16</v>
      </c>
      <c r="F189" s="121"/>
      <c r="G189" s="121"/>
      <c r="H189" s="121"/>
      <c r="I189" s="121"/>
      <c r="J189" s="121"/>
      <c r="K189" s="121"/>
      <c r="L189" s="121"/>
      <c r="M189" s="121"/>
      <c r="N189" s="122"/>
      <c r="O189" s="106">
        <v>0</v>
      </c>
      <c r="P189" s="121"/>
      <c r="Q189" s="121"/>
      <c r="R189" s="121"/>
      <c r="S189" s="121"/>
      <c r="T189" s="123"/>
      <c r="U189" s="16">
        <f t="shared" si="5"/>
        <v>-495</v>
      </c>
    </row>
    <row r="190" spans="1:21">
      <c r="A190" s="56">
        <v>184</v>
      </c>
      <c r="B190" s="108" t="s">
        <v>420</v>
      </c>
      <c r="C190" s="13" t="s">
        <v>239</v>
      </c>
      <c r="D190" s="14">
        <f t="shared" si="4"/>
        <v>57.2</v>
      </c>
      <c r="E190" s="106">
        <v>57.2</v>
      </c>
      <c r="F190" s="106"/>
      <c r="G190" s="106"/>
      <c r="H190" s="106"/>
      <c r="I190" s="106"/>
      <c r="J190" s="106"/>
      <c r="K190" s="106"/>
      <c r="L190" s="106"/>
      <c r="M190" s="106">
        <v>975</v>
      </c>
      <c r="N190" s="109">
        <v>975</v>
      </c>
      <c r="O190" s="106">
        <v>0</v>
      </c>
      <c r="P190" s="106">
        <v>0</v>
      </c>
      <c r="Q190" s="106"/>
      <c r="R190" s="106"/>
      <c r="S190" s="106">
        <v>975</v>
      </c>
      <c r="T190" s="107">
        <v>975</v>
      </c>
      <c r="U190" s="16">
        <f t="shared" si="5"/>
        <v>480</v>
      </c>
    </row>
    <row r="191" spans="1:21">
      <c r="A191" s="56">
        <v>185</v>
      </c>
      <c r="B191" s="102" t="s">
        <v>421</v>
      </c>
      <c r="C191" s="103" t="s">
        <v>237</v>
      </c>
      <c r="D191" s="14">
        <f t="shared" si="4"/>
        <v>139.86000000000001</v>
      </c>
      <c r="E191" s="104">
        <v>139.86000000000001</v>
      </c>
      <c r="F191" s="104"/>
      <c r="G191" s="104"/>
      <c r="H191" s="104"/>
      <c r="I191" s="104"/>
      <c r="J191" s="104"/>
      <c r="K191" s="104"/>
      <c r="L191" s="104"/>
      <c r="M191" s="104">
        <v>1316</v>
      </c>
      <c r="N191" s="105">
        <v>1316</v>
      </c>
      <c r="O191" s="104">
        <v>0</v>
      </c>
      <c r="P191" s="106">
        <v>0</v>
      </c>
      <c r="Q191" s="106"/>
      <c r="R191" s="106"/>
      <c r="S191" s="106">
        <v>1316</v>
      </c>
      <c r="T191" s="107">
        <v>1316</v>
      </c>
      <c r="U191" s="16">
        <f t="shared" si="5"/>
        <v>821</v>
      </c>
    </row>
    <row r="192" spans="1:21" ht="15">
      <c r="A192" s="13"/>
      <c r="B192" s="124" t="s">
        <v>426</v>
      </c>
      <c r="C192" s="13"/>
      <c r="D192" s="14">
        <f>SUM(D7:D191)</f>
        <v>80447.979999999952</v>
      </c>
      <c r="E192" s="14">
        <f t="shared" ref="E192:T192" si="6">SUM(E7:E191)</f>
        <v>72109.170000000042</v>
      </c>
      <c r="F192" s="14">
        <f t="shared" si="6"/>
        <v>0</v>
      </c>
      <c r="G192" s="14">
        <f t="shared" si="6"/>
        <v>0</v>
      </c>
      <c r="H192" s="14">
        <f t="shared" si="6"/>
        <v>8338.8100000000013</v>
      </c>
      <c r="I192" s="14">
        <f t="shared" si="6"/>
        <v>0</v>
      </c>
      <c r="J192" s="14">
        <f t="shared" si="6"/>
        <v>0</v>
      </c>
      <c r="K192" s="14">
        <f t="shared" si="6"/>
        <v>0</v>
      </c>
      <c r="L192" s="14">
        <f t="shared" si="6"/>
        <v>0</v>
      </c>
      <c r="M192" s="14">
        <f t="shared" si="6"/>
        <v>253578.36</v>
      </c>
      <c r="N192" s="14">
        <f t="shared" si="6"/>
        <v>239324.36</v>
      </c>
      <c r="O192" s="14">
        <f t="shared" si="6"/>
        <v>24185.64</v>
      </c>
      <c r="P192" s="14">
        <f t="shared" si="6"/>
        <v>0</v>
      </c>
      <c r="Q192" s="14">
        <f t="shared" si="6"/>
        <v>0</v>
      </c>
      <c r="R192" s="14">
        <f t="shared" si="6"/>
        <v>0</v>
      </c>
      <c r="S192" s="14">
        <f t="shared" si="6"/>
        <v>264186</v>
      </c>
      <c r="T192" s="14">
        <f t="shared" si="6"/>
        <v>276363</v>
      </c>
      <c r="U192" s="16">
        <f t="shared" si="5"/>
        <v>253083.36</v>
      </c>
    </row>
    <row r="193" spans="1:39" ht="15">
      <c r="A193" s="177"/>
      <c r="B193" s="178"/>
      <c r="C193" s="191"/>
      <c r="D193" s="15"/>
      <c r="E193" s="15"/>
      <c r="F193" s="15"/>
      <c r="G193" s="15"/>
      <c r="H193" s="15"/>
      <c r="I193" s="14" t="e">
        <v>#REF!</v>
      </c>
      <c r="J193" s="14" t="e">
        <v>#REF!</v>
      </c>
      <c r="K193" s="14" t="e">
        <v>#REF!</v>
      </c>
      <c r="L193" s="14"/>
      <c r="M193" s="15"/>
      <c r="N193" s="15"/>
      <c r="O193" s="15"/>
      <c r="P193" s="14"/>
      <c r="Q193" s="14"/>
      <c r="R193" s="14"/>
      <c r="S193" s="14"/>
      <c r="T193" s="14"/>
    </row>
    <row r="194" spans="1:39" ht="15.75">
      <c r="A194" s="17"/>
      <c r="B194" s="18"/>
      <c r="C194" s="17"/>
      <c r="D194" s="19"/>
      <c r="E194" s="125"/>
      <c r="F194" s="125" t="e">
        <v>#REF!</v>
      </c>
      <c r="G194" s="125" t="e">
        <v>#REF!</v>
      </c>
      <c r="H194" s="125"/>
      <c r="I194" s="125" t="e">
        <v>#REF!</v>
      </c>
      <c r="J194" s="125" t="e">
        <v>#REF!</v>
      </c>
      <c r="K194" s="125" t="e">
        <v>#REF!</v>
      </c>
      <c r="L194" s="125" t="e">
        <v>#REF!</v>
      </c>
      <c r="M194" s="125"/>
      <c r="N194" s="125" t="e">
        <v>#REF!</v>
      </c>
      <c r="O194" s="125"/>
      <c r="P194" s="20" t="e">
        <v>#REF!</v>
      </c>
      <c r="Q194" s="20" t="e">
        <v>#REF!</v>
      </c>
      <c r="R194" s="20" t="e">
        <v>#REF!</v>
      </c>
      <c r="S194" s="20" t="e">
        <v>#REF!</v>
      </c>
      <c r="T194" s="20"/>
      <c r="U194" s="16"/>
      <c r="V194" s="126"/>
    </row>
    <row r="195" spans="1:39" ht="15.75">
      <c r="A195" s="17"/>
      <c r="B195" s="18" t="s">
        <v>427</v>
      </c>
      <c r="C195" s="17"/>
      <c r="D195" s="19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>
        <v>0</v>
      </c>
      <c r="Q195" s="22">
        <v>0</v>
      </c>
      <c r="R195" s="22">
        <v>0</v>
      </c>
      <c r="S195" s="22">
        <v>261895</v>
      </c>
      <c r="T195" s="22">
        <v>276363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</row>
    <row r="196" spans="1:39" ht="15.75">
      <c r="A196" s="17"/>
      <c r="B196" s="132"/>
      <c r="C196" s="133"/>
      <c r="D196" s="22"/>
      <c r="E196" s="134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>
        <v>0</v>
      </c>
      <c r="Q196" s="20">
        <v>0</v>
      </c>
      <c r="R196" s="20"/>
      <c r="S196" s="20"/>
      <c r="T196" s="20"/>
      <c r="V196" s="126"/>
    </row>
    <row r="197" spans="1:39" ht="15.75">
      <c r="A197" s="17"/>
      <c r="B197" s="132" t="s">
        <v>425</v>
      </c>
      <c r="C197" s="133"/>
      <c r="D197" s="22"/>
      <c r="E197" s="134">
        <v>339.46</v>
      </c>
      <c r="F197" s="20">
        <v>72109.190000000046</v>
      </c>
      <c r="G197" s="20"/>
      <c r="H197" s="137" t="s">
        <v>428</v>
      </c>
      <c r="I197" s="20"/>
      <c r="J197" s="20"/>
      <c r="K197" s="20"/>
      <c r="L197" s="20"/>
      <c r="M197" s="20"/>
      <c r="N197" s="20"/>
      <c r="O197" s="20"/>
      <c r="P197" s="21"/>
      <c r="Q197" s="20"/>
      <c r="R197" s="20"/>
      <c r="S197" s="20"/>
      <c r="T197" s="21"/>
      <c r="V197" s="126"/>
    </row>
    <row r="198" spans="1:39" ht="15.75">
      <c r="B198" s="135" t="s">
        <v>251</v>
      </c>
      <c r="C198" s="135"/>
      <c r="D198" s="130"/>
      <c r="E198" s="130">
        <v>126.52</v>
      </c>
      <c r="F198" s="24" t="s">
        <v>350</v>
      </c>
      <c r="G198" s="25">
        <v>166.16</v>
      </c>
      <c r="H198" s="24" t="s">
        <v>428</v>
      </c>
      <c r="I198" s="24"/>
      <c r="J198" s="24"/>
      <c r="K198" s="24" t="e">
        <v>#REF!</v>
      </c>
      <c r="L198" s="24"/>
      <c r="N198" s="16"/>
      <c r="O198" s="26"/>
      <c r="P198" s="16"/>
      <c r="T198" s="24"/>
    </row>
    <row r="199" spans="1:39" ht="15.75">
      <c r="B199" s="135" t="s">
        <v>350</v>
      </c>
      <c r="C199" s="135"/>
      <c r="D199" s="131"/>
      <c r="E199" s="136">
        <v>166.16</v>
      </c>
      <c r="G199" s="27">
        <v>0</v>
      </c>
      <c r="H199" s="28" t="s">
        <v>428</v>
      </c>
      <c r="J199" s="29"/>
      <c r="N199" s="16"/>
      <c r="O199" s="26"/>
      <c r="P199" s="16"/>
    </row>
    <row r="200" spans="1:39" ht="15">
      <c r="B200" s="129"/>
      <c r="G200" s="27">
        <v>166.16</v>
      </c>
      <c r="K200" s="26"/>
      <c r="N200" s="16"/>
      <c r="O200" s="26"/>
      <c r="T200" s="24"/>
    </row>
    <row r="201" spans="1:39">
      <c r="G201" s="27">
        <v>126.52</v>
      </c>
      <c r="K201" s="26"/>
      <c r="N201" s="16"/>
      <c r="O201" s="26"/>
    </row>
    <row r="202" spans="1:39">
      <c r="G202" s="27">
        <v>429</v>
      </c>
      <c r="K202" s="30">
        <v>0</v>
      </c>
      <c r="N202" s="31"/>
      <c r="O202" s="30"/>
    </row>
    <row r="203" spans="1:39">
      <c r="G203" s="27">
        <v>528.16</v>
      </c>
    </row>
    <row r="204" spans="1:39" ht="26.25">
      <c r="D204" s="4"/>
      <c r="G204" s="27">
        <v>644.42999999999995</v>
      </c>
      <c r="M204" s="32"/>
      <c r="N204" s="32"/>
      <c r="O204" s="32"/>
      <c r="P204" s="33"/>
      <c r="Q204" s="33"/>
      <c r="R204" s="33"/>
      <c r="S204" s="33"/>
      <c r="T204" s="4"/>
    </row>
    <row r="205" spans="1:39" ht="26.25">
      <c r="D205" s="4"/>
      <c r="M205" s="32"/>
      <c r="N205" s="32"/>
      <c r="O205" s="32"/>
      <c r="P205" s="33"/>
      <c r="Q205" s="33"/>
      <c r="R205" s="33"/>
      <c r="S205" s="33"/>
      <c r="T205" s="4"/>
    </row>
    <row r="206" spans="1:39" ht="26.25">
      <c r="D206" s="4"/>
      <c r="M206" s="32"/>
      <c r="N206" s="32"/>
      <c r="O206" s="32"/>
      <c r="P206" s="33"/>
      <c r="Q206" s="33"/>
      <c r="R206" s="33"/>
      <c r="S206" s="33"/>
      <c r="T206" s="4"/>
    </row>
    <row r="207" spans="1:39" ht="26.25">
      <c r="D207" s="4"/>
      <c r="M207" s="34"/>
      <c r="N207" s="32"/>
      <c r="O207" s="32"/>
      <c r="P207" s="33"/>
      <c r="Q207" s="33"/>
      <c r="R207" s="33"/>
      <c r="S207" s="33"/>
      <c r="T207" s="4"/>
    </row>
    <row r="208" spans="1:39" ht="25.5">
      <c r="D208" s="4"/>
      <c r="M208" s="35"/>
      <c r="N208" s="35"/>
      <c r="O208" s="35"/>
      <c r="T208" s="4"/>
    </row>
    <row r="209" spans="4:20" ht="25.5">
      <c r="D209" s="4"/>
      <c r="M209" s="35"/>
      <c r="N209" s="35"/>
      <c r="O209" s="35"/>
      <c r="T209" s="4"/>
    </row>
  </sheetData>
  <mergeCells count="12">
    <mergeCell ref="O5:P5"/>
    <mergeCell ref="T5:T6"/>
    <mergeCell ref="A193:C193"/>
    <mergeCell ref="A3:A5"/>
    <mergeCell ref="B3:B5"/>
    <mergeCell ref="C3:C5"/>
    <mergeCell ref="D3:T3"/>
    <mergeCell ref="D4:L4"/>
    <mergeCell ref="M4:T4"/>
    <mergeCell ref="E5:G5"/>
    <mergeCell ref="H5:L5"/>
    <mergeCell ref="M5:N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8"/>
  <sheetViews>
    <sheetView zoomScaleNormal="100" workbookViewId="0">
      <selection activeCell="P11" sqref="P11"/>
    </sheetView>
  </sheetViews>
  <sheetFormatPr defaultRowHeight="14.25"/>
  <cols>
    <col min="1" max="1" width="4.25" style="4" customWidth="1"/>
    <col min="2" max="2" width="29.375" style="4" customWidth="1"/>
    <col min="3" max="3" width="4.875" style="4" hidden="1" customWidth="1"/>
    <col min="4" max="4" width="12.625" style="6" hidden="1" customWidth="1"/>
    <col min="5" max="5" width="17.125" style="4" hidden="1" customWidth="1"/>
    <col min="6" max="8" width="12" style="4" hidden="1" customWidth="1"/>
    <col min="9" max="9" width="14.375" style="4" hidden="1" customWidth="1"/>
    <col min="10" max="10" width="14.875" style="6" hidden="1" customWidth="1"/>
    <col min="11" max="11" width="11.125" style="4" customWidth="1"/>
    <col min="12" max="12" width="12" style="4" bestFit="1" customWidth="1"/>
    <col min="13" max="16384" width="9" style="4"/>
  </cols>
  <sheetData>
    <row r="3" spans="1:10" ht="15.75">
      <c r="A3" s="1"/>
      <c r="B3" s="2" t="s">
        <v>435</v>
      </c>
      <c r="C3" s="1"/>
      <c r="D3" s="3"/>
      <c r="E3" s="5"/>
    </row>
    <row r="4" spans="1:10" ht="15" thickBot="1">
      <c r="A4" s="1"/>
      <c r="C4" s="1"/>
      <c r="D4" s="3"/>
    </row>
    <row r="5" spans="1:10" ht="15">
      <c r="A5" s="210" t="s">
        <v>2</v>
      </c>
      <c r="B5" s="210" t="s">
        <v>3</v>
      </c>
      <c r="C5" s="192" t="s">
        <v>233</v>
      </c>
      <c r="D5" s="195" t="s">
        <v>4</v>
      </c>
      <c r="E5" s="172"/>
      <c r="F5" s="172"/>
      <c r="G5" s="172"/>
      <c r="H5" s="172"/>
      <c r="I5" s="172"/>
      <c r="J5" s="196"/>
    </row>
    <row r="6" spans="1:10" ht="15">
      <c r="A6" s="211"/>
      <c r="B6" s="211"/>
      <c r="C6" s="193"/>
      <c r="D6" s="154" t="s">
        <v>5</v>
      </c>
      <c r="E6" s="199"/>
      <c r="F6" s="199"/>
      <c r="G6" s="199"/>
      <c r="H6" s="199"/>
      <c r="I6" s="199"/>
      <c r="J6" s="199"/>
    </row>
    <row r="7" spans="1:10" ht="12.75" customHeight="1">
      <c r="A7" s="212"/>
      <c r="B7" s="212"/>
      <c r="C7" s="194"/>
      <c r="D7" s="96" t="s">
        <v>7</v>
      </c>
      <c r="E7" s="153"/>
      <c r="F7" s="142"/>
      <c r="G7" s="97" t="s">
        <v>12</v>
      </c>
      <c r="H7" s="97" t="s">
        <v>234</v>
      </c>
      <c r="I7" s="97"/>
      <c r="J7" s="205" t="s">
        <v>7</v>
      </c>
    </row>
    <row r="8" spans="1:10" ht="12.75" customHeight="1" thickBot="1">
      <c r="A8" s="10"/>
      <c r="B8" s="9" t="s">
        <v>3</v>
      </c>
      <c r="C8" s="98"/>
      <c r="D8" s="99"/>
      <c r="E8" s="100" t="s">
        <v>14</v>
      </c>
      <c r="F8" s="100" t="s">
        <v>16</v>
      </c>
      <c r="G8" s="101" t="s">
        <v>20</v>
      </c>
      <c r="H8" s="101" t="s">
        <v>235</v>
      </c>
      <c r="I8" s="101"/>
      <c r="J8" s="213"/>
    </row>
    <row r="9" spans="1:10" ht="15">
      <c r="A9" s="163">
        <v>1</v>
      </c>
      <c r="B9" s="166" t="s">
        <v>236</v>
      </c>
      <c r="C9" s="56" t="s">
        <v>237</v>
      </c>
      <c r="D9" s="14" t="e">
        <f>#REF!+#REF!</f>
        <v>#REF!</v>
      </c>
      <c r="E9" s="105">
        <v>461</v>
      </c>
      <c r="F9" s="106">
        <v>0</v>
      </c>
      <c r="G9" s="106"/>
      <c r="H9" s="106"/>
      <c r="I9" s="106">
        <v>461</v>
      </c>
      <c r="J9" s="146">
        <v>461</v>
      </c>
    </row>
    <row r="10" spans="1:10" ht="15">
      <c r="A10" s="163">
        <v>2</v>
      </c>
      <c r="B10" s="166" t="s">
        <v>250</v>
      </c>
      <c r="C10" s="56" t="s">
        <v>237</v>
      </c>
      <c r="D10" s="14" t="e">
        <f>#REF!+#REF!</f>
        <v>#REF!</v>
      </c>
      <c r="E10" s="109">
        <v>811</v>
      </c>
      <c r="F10" s="106">
        <v>0</v>
      </c>
      <c r="G10" s="106"/>
      <c r="H10" s="106"/>
      <c r="I10" s="106">
        <v>811</v>
      </c>
      <c r="J10" s="146">
        <v>811</v>
      </c>
    </row>
    <row r="11" spans="1:10" ht="15">
      <c r="A11" s="163">
        <v>3</v>
      </c>
      <c r="B11" s="166" t="s">
        <v>251</v>
      </c>
      <c r="C11" s="56"/>
      <c r="D11" s="14"/>
      <c r="E11" s="109"/>
      <c r="F11" s="106"/>
      <c r="G11" s="106"/>
      <c r="H11" s="106"/>
      <c r="I11" s="106"/>
      <c r="J11" s="146"/>
    </row>
    <row r="12" spans="1:10" ht="15">
      <c r="A12" s="163">
        <v>4</v>
      </c>
      <c r="B12" s="166" t="s">
        <v>254</v>
      </c>
      <c r="C12" s="56" t="s">
        <v>237</v>
      </c>
      <c r="D12" s="14" t="e">
        <f>#REF!+#REF!</f>
        <v>#REF!</v>
      </c>
      <c r="E12" s="109">
        <v>369</v>
      </c>
      <c r="F12" s="106">
        <v>0</v>
      </c>
      <c r="G12" s="106"/>
      <c r="H12" s="106"/>
      <c r="I12" s="106">
        <v>369</v>
      </c>
      <c r="J12" s="146">
        <v>369</v>
      </c>
    </row>
    <row r="13" spans="1:10" ht="15">
      <c r="A13" s="163">
        <v>5</v>
      </c>
      <c r="B13" s="166" t="s">
        <v>266</v>
      </c>
      <c r="C13" s="56" t="s">
        <v>237</v>
      </c>
      <c r="D13" s="14" t="e">
        <f>#REF!+#REF!</f>
        <v>#REF!</v>
      </c>
      <c r="E13" s="105">
        <v>1093</v>
      </c>
      <c r="F13" s="106">
        <v>0</v>
      </c>
      <c r="G13" s="106"/>
      <c r="H13" s="106"/>
      <c r="I13" s="106">
        <v>1093</v>
      </c>
      <c r="J13" s="146">
        <v>1093</v>
      </c>
    </row>
    <row r="14" spans="1:10" ht="15">
      <c r="A14" s="163">
        <v>6</v>
      </c>
      <c r="B14" s="166" t="s">
        <v>268</v>
      </c>
      <c r="C14" s="56" t="s">
        <v>237</v>
      </c>
      <c r="D14" s="14" t="e">
        <f>#REF!+#REF!</f>
        <v>#REF!</v>
      </c>
      <c r="E14" s="105">
        <v>441</v>
      </c>
      <c r="F14" s="106">
        <v>0</v>
      </c>
      <c r="G14" s="106"/>
      <c r="H14" s="106"/>
      <c r="I14" s="106">
        <v>441</v>
      </c>
      <c r="J14" s="146">
        <v>441</v>
      </c>
    </row>
    <row r="15" spans="1:10" ht="15">
      <c r="A15" s="163">
        <v>7</v>
      </c>
      <c r="B15" s="166" t="s">
        <v>272</v>
      </c>
      <c r="C15" s="56" t="s">
        <v>237</v>
      </c>
      <c r="D15" s="14" t="e">
        <f>#REF!+#REF!</f>
        <v>#REF!</v>
      </c>
      <c r="E15" s="105">
        <v>443</v>
      </c>
      <c r="F15" s="106">
        <v>0</v>
      </c>
      <c r="G15" s="106"/>
      <c r="H15" s="106"/>
      <c r="I15" s="106">
        <v>443</v>
      </c>
      <c r="J15" s="146">
        <v>443</v>
      </c>
    </row>
    <row r="16" spans="1:10" ht="15">
      <c r="A16" s="163">
        <v>8</v>
      </c>
      <c r="B16" s="166" t="s">
        <v>273</v>
      </c>
      <c r="C16" s="56" t="s">
        <v>237</v>
      </c>
      <c r="D16" s="14" t="e">
        <f>#REF!+#REF!</f>
        <v>#REF!</v>
      </c>
      <c r="E16" s="105">
        <v>363</v>
      </c>
      <c r="F16" s="106">
        <v>0</v>
      </c>
      <c r="G16" s="106"/>
      <c r="H16" s="106"/>
      <c r="I16" s="106">
        <v>486</v>
      </c>
      <c r="J16" s="146">
        <v>486</v>
      </c>
    </row>
    <row r="17" spans="1:12" ht="15">
      <c r="A17" s="163">
        <v>9</v>
      </c>
      <c r="B17" s="166" t="s">
        <v>286</v>
      </c>
      <c r="C17" s="56" t="s">
        <v>237</v>
      </c>
      <c r="D17" s="14" t="e">
        <f>#REF!+#REF!</f>
        <v>#REF!</v>
      </c>
      <c r="E17" s="105">
        <v>679</v>
      </c>
      <c r="F17" s="106">
        <v>0</v>
      </c>
      <c r="G17" s="106"/>
      <c r="H17" s="106"/>
      <c r="I17" s="106">
        <v>679</v>
      </c>
      <c r="J17" s="146">
        <v>679</v>
      </c>
    </row>
    <row r="18" spans="1:12" ht="15">
      <c r="A18" s="163">
        <v>10</v>
      </c>
      <c r="B18" s="166" t="s">
        <v>299</v>
      </c>
      <c r="C18" s="56" t="s">
        <v>237</v>
      </c>
      <c r="D18" s="14" t="e">
        <f>#REF!+#REF!</f>
        <v>#REF!</v>
      </c>
      <c r="E18" s="105">
        <v>468</v>
      </c>
      <c r="F18" s="106">
        <v>0</v>
      </c>
      <c r="G18" s="106"/>
      <c r="H18" s="106"/>
      <c r="I18" s="106">
        <v>468</v>
      </c>
      <c r="J18" s="146">
        <v>468</v>
      </c>
    </row>
    <row r="19" spans="1:12" ht="15">
      <c r="A19" s="163">
        <v>11</v>
      </c>
      <c r="B19" s="166" t="s">
        <v>301</v>
      </c>
      <c r="C19" s="56" t="s">
        <v>237</v>
      </c>
      <c r="D19" s="14" t="e">
        <f>#REF!+#REF!</f>
        <v>#REF!</v>
      </c>
      <c r="E19" s="105">
        <v>758</v>
      </c>
      <c r="F19" s="106">
        <v>0</v>
      </c>
      <c r="G19" s="106"/>
      <c r="H19" s="106"/>
      <c r="I19" s="106">
        <v>758</v>
      </c>
      <c r="J19" s="146">
        <v>758</v>
      </c>
    </row>
    <row r="20" spans="1:12" ht="15">
      <c r="A20" s="163">
        <v>12</v>
      </c>
      <c r="B20" s="166" t="s">
        <v>315</v>
      </c>
      <c r="C20" s="56" t="s">
        <v>237</v>
      </c>
      <c r="D20" s="14" t="e">
        <f>#REF!+#REF!</f>
        <v>#REF!</v>
      </c>
      <c r="E20" s="105">
        <v>528</v>
      </c>
      <c r="F20" s="106">
        <v>0</v>
      </c>
      <c r="G20" s="106"/>
      <c r="H20" s="106"/>
      <c r="I20" s="106">
        <v>528</v>
      </c>
      <c r="J20" s="146">
        <v>528</v>
      </c>
    </row>
    <row r="21" spans="1:12" ht="15">
      <c r="A21" s="163">
        <v>13</v>
      </c>
      <c r="B21" s="166" t="s">
        <v>319</v>
      </c>
      <c r="C21" s="56" t="s">
        <v>237</v>
      </c>
      <c r="D21" s="14" t="e">
        <f>#REF!+#REF!</f>
        <v>#REF!</v>
      </c>
      <c r="E21" s="105">
        <v>1111</v>
      </c>
      <c r="F21" s="106">
        <v>0</v>
      </c>
      <c r="G21" s="106"/>
      <c r="H21" s="106"/>
      <c r="I21" s="106">
        <v>1111</v>
      </c>
      <c r="J21" s="146">
        <v>1111</v>
      </c>
    </row>
    <row r="22" spans="1:12" ht="15">
      <c r="A22" s="163">
        <v>14</v>
      </c>
      <c r="B22" s="166" t="s">
        <v>320</v>
      </c>
      <c r="C22" s="56" t="s">
        <v>237</v>
      </c>
      <c r="D22" s="14" t="e">
        <f>#REF!+#REF!</f>
        <v>#REF!</v>
      </c>
      <c r="E22" s="109">
        <v>0</v>
      </c>
      <c r="F22" s="106">
        <v>0</v>
      </c>
      <c r="G22" s="106"/>
      <c r="H22" s="106"/>
      <c r="I22" s="106"/>
      <c r="J22" s="146">
        <v>0</v>
      </c>
    </row>
    <row r="23" spans="1:12" ht="15">
      <c r="A23" s="163">
        <v>15</v>
      </c>
      <c r="B23" s="166" t="s">
        <v>325</v>
      </c>
      <c r="C23" s="56" t="s">
        <v>237</v>
      </c>
      <c r="D23" s="14" t="e">
        <f>#REF!+#REF!</f>
        <v>#REF!</v>
      </c>
      <c r="E23" s="105">
        <v>420</v>
      </c>
      <c r="F23" s="106">
        <v>0</v>
      </c>
      <c r="G23" s="106"/>
      <c r="H23" s="106"/>
      <c r="I23" s="106">
        <v>420</v>
      </c>
      <c r="J23" s="146">
        <v>420</v>
      </c>
    </row>
    <row r="24" spans="1:12" ht="15">
      <c r="A24" s="163">
        <v>16</v>
      </c>
      <c r="B24" s="166" t="s">
        <v>333</v>
      </c>
      <c r="C24" s="56" t="s">
        <v>237</v>
      </c>
      <c r="D24" s="14" t="e">
        <f>#REF!+#REF!</f>
        <v>#REF!</v>
      </c>
      <c r="E24" s="105">
        <v>406</v>
      </c>
      <c r="F24" s="106">
        <v>0</v>
      </c>
      <c r="G24" s="106"/>
      <c r="H24" s="106"/>
      <c r="I24" s="106">
        <v>406</v>
      </c>
      <c r="J24" s="146">
        <v>406</v>
      </c>
    </row>
    <row r="25" spans="1:12" ht="15">
      <c r="A25" s="163">
        <v>17</v>
      </c>
      <c r="B25" s="166" t="s">
        <v>335</v>
      </c>
      <c r="C25" s="56" t="s">
        <v>237</v>
      </c>
      <c r="D25" s="14" t="e">
        <f>#REF!+#REF!</f>
        <v>#REF!</v>
      </c>
      <c r="E25" s="105">
        <v>1502</v>
      </c>
      <c r="F25" s="106">
        <v>0</v>
      </c>
      <c r="G25" s="106"/>
      <c r="H25" s="106"/>
      <c r="I25" s="106">
        <v>2725</v>
      </c>
      <c r="J25" s="146">
        <v>2725</v>
      </c>
    </row>
    <row r="26" spans="1:12" ht="15">
      <c r="A26" s="163">
        <v>18</v>
      </c>
      <c r="B26" s="166" t="s">
        <v>337</v>
      </c>
      <c r="C26" s="56" t="s">
        <v>237</v>
      </c>
      <c r="D26" s="14" t="e">
        <f>#REF!+#REF!</f>
        <v>#REF!</v>
      </c>
      <c r="E26" s="105">
        <v>1594</v>
      </c>
      <c r="F26" s="106">
        <v>0</v>
      </c>
      <c r="G26" s="106"/>
      <c r="H26" s="106"/>
      <c r="I26" s="106">
        <v>1594</v>
      </c>
      <c r="J26" s="146">
        <v>1594</v>
      </c>
    </row>
    <row r="27" spans="1:12" ht="15">
      <c r="A27" s="163">
        <v>19</v>
      </c>
      <c r="B27" s="166" t="s">
        <v>377</v>
      </c>
      <c r="C27" s="56" t="s">
        <v>237</v>
      </c>
      <c r="D27" s="14" t="e">
        <f>#REF!+#REF!</f>
        <v>#REF!</v>
      </c>
      <c r="E27" s="105">
        <v>444</v>
      </c>
      <c r="F27" s="106">
        <v>0</v>
      </c>
      <c r="G27" s="106"/>
      <c r="H27" s="106"/>
      <c r="I27" s="106">
        <v>444</v>
      </c>
      <c r="J27" s="146">
        <v>444</v>
      </c>
      <c r="L27" s="16"/>
    </row>
    <row r="28" spans="1:12" ht="15">
      <c r="A28" s="163">
        <v>20</v>
      </c>
      <c r="B28" s="166" t="s">
        <v>378</v>
      </c>
      <c r="C28" s="56" t="s">
        <v>237</v>
      </c>
      <c r="D28" s="14" t="e">
        <f>#REF!+#REF!</f>
        <v>#REF!</v>
      </c>
      <c r="E28" s="105">
        <v>552</v>
      </c>
      <c r="F28" s="106">
        <v>0</v>
      </c>
      <c r="G28" s="106"/>
      <c r="H28" s="106"/>
      <c r="I28" s="106">
        <v>552</v>
      </c>
      <c r="J28" s="146">
        <v>552</v>
      </c>
    </row>
    <row r="29" spans="1:12" ht="15">
      <c r="A29" s="163">
        <v>21</v>
      </c>
      <c r="B29" s="166" t="s">
        <v>379</v>
      </c>
      <c r="C29" s="56" t="s">
        <v>237</v>
      </c>
      <c r="D29" s="14" t="e">
        <f>#REF!+#REF!</f>
        <v>#REF!</v>
      </c>
      <c r="E29" s="105">
        <v>662</v>
      </c>
      <c r="F29" s="106">
        <v>0</v>
      </c>
      <c r="G29" s="106"/>
      <c r="H29" s="106"/>
      <c r="I29" s="106">
        <v>662</v>
      </c>
      <c r="J29" s="146">
        <v>662</v>
      </c>
    </row>
    <row r="30" spans="1:12" ht="15">
      <c r="A30" s="163">
        <v>22</v>
      </c>
      <c r="B30" s="166" t="s">
        <v>384</v>
      </c>
      <c r="C30" s="56" t="s">
        <v>237</v>
      </c>
      <c r="D30" s="14" t="e">
        <f>#REF!+#REF!</f>
        <v>#REF!</v>
      </c>
      <c r="E30" s="105">
        <v>954</v>
      </c>
      <c r="F30" s="106">
        <v>0</v>
      </c>
      <c r="G30" s="106"/>
      <c r="H30" s="106"/>
      <c r="I30" s="106">
        <v>954</v>
      </c>
      <c r="J30" s="146">
        <v>954</v>
      </c>
    </row>
    <row r="31" spans="1:12" ht="15">
      <c r="A31" s="163">
        <v>23</v>
      </c>
      <c r="B31" s="166" t="s">
        <v>401</v>
      </c>
      <c r="C31" s="56" t="s">
        <v>237</v>
      </c>
      <c r="D31" s="14" t="e">
        <f>#REF!+#REF!</f>
        <v>#REF!</v>
      </c>
      <c r="E31" s="105">
        <v>340</v>
      </c>
      <c r="F31" s="106">
        <v>0</v>
      </c>
      <c r="G31" s="106"/>
      <c r="H31" s="106"/>
      <c r="I31" s="106">
        <v>340</v>
      </c>
      <c r="J31" s="146">
        <v>340</v>
      </c>
    </row>
    <row r="32" spans="1:12" ht="15">
      <c r="A32" s="163">
        <v>24</v>
      </c>
      <c r="B32" s="166" t="s">
        <v>402</v>
      </c>
      <c r="C32" s="56" t="s">
        <v>237</v>
      </c>
      <c r="D32" s="14" t="e">
        <f>#REF!+#REF!</f>
        <v>#REF!</v>
      </c>
      <c r="E32" s="105">
        <v>975</v>
      </c>
      <c r="F32" s="106">
        <v>0</v>
      </c>
      <c r="G32" s="106"/>
      <c r="H32" s="106"/>
      <c r="I32" s="106">
        <v>975</v>
      </c>
      <c r="J32" s="146">
        <v>975</v>
      </c>
    </row>
    <row r="33" spans="1:11" ht="15">
      <c r="A33" s="163">
        <v>25</v>
      </c>
      <c r="B33" s="166" t="s">
        <v>405</v>
      </c>
      <c r="C33" s="56" t="s">
        <v>237</v>
      </c>
      <c r="D33" s="14" t="e">
        <f>#REF!+#REF!</f>
        <v>#REF!</v>
      </c>
      <c r="E33" s="105">
        <v>236</v>
      </c>
      <c r="F33" s="106">
        <v>0</v>
      </c>
      <c r="G33" s="106"/>
      <c r="H33" s="106"/>
      <c r="I33" s="106">
        <v>272</v>
      </c>
      <c r="J33" s="146">
        <v>272</v>
      </c>
    </row>
    <row r="34" spans="1:11" ht="15">
      <c r="A34" s="163">
        <v>26</v>
      </c>
      <c r="B34" s="166" t="s">
        <v>421</v>
      </c>
      <c r="C34" s="56" t="s">
        <v>237</v>
      </c>
      <c r="D34" s="14" t="e">
        <f>#REF!+#REF!</f>
        <v>#REF!</v>
      </c>
      <c r="E34" s="105">
        <v>1316</v>
      </c>
      <c r="F34" s="106">
        <v>0</v>
      </c>
      <c r="G34" s="106"/>
      <c r="H34" s="106"/>
      <c r="I34" s="106">
        <v>1316</v>
      </c>
      <c r="J34" s="146">
        <v>1316</v>
      </c>
    </row>
    <row r="35" spans="1:11" ht="15.75">
      <c r="A35" s="13"/>
      <c r="B35" s="138" t="s">
        <v>430</v>
      </c>
      <c r="C35" s="139"/>
      <c r="D35" s="140" t="e">
        <f t="shared" ref="D35:J35" si="0">SUM(D9:D34)</f>
        <v>#REF!</v>
      </c>
      <c r="E35" s="140">
        <f t="shared" si="0"/>
        <v>16926</v>
      </c>
      <c r="F35" s="14">
        <f t="shared" si="0"/>
        <v>0</v>
      </c>
      <c r="G35" s="14">
        <f t="shared" si="0"/>
        <v>0</v>
      </c>
      <c r="H35" s="14">
        <f t="shared" si="0"/>
        <v>0</v>
      </c>
      <c r="I35" s="14">
        <f t="shared" si="0"/>
        <v>18308</v>
      </c>
      <c r="J35" s="14">
        <f t="shared" si="0"/>
        <v>18308</v>
      </c>
    </row>
    <row r="36" spans="1:11" ht="15">
      <c r="A36" s="207"/>
      <c r="B36" s="208"/>
      <c r="C36" s="209"/>
      <c r="D36" s="15"/>
      <c r="E36" s="15"/>
      <c r="F36" s="14"/>
      <c r="G36" s="14"/>
      <c r="H36" s="14"/>
      <c r="I36" s="14"/>
      <c r="J36" s="14"/>
    </row>
    <row r="37" spans="1:11" ht="15.75">
      <c r="A37" s="17"/>
      <c r="B37" s="18"/>
      <c r="C37" s="17"/>
      <c r="D37" s="19"/>
      <c r="E37" s="125" t="e">
        <v>#REF!</v>
      </c>
      <c r="F37" s="137" t="e">
        <v>#REF!</v>
      </c>
      <c r="G37" s="137" t="e">
        <v>#REF!</v>
      </c>
      <c r="H37" s="137" t="e">
        <v>#REF!</v>
      </c>
      <c r="I37" s="137" t="e">
        <v>#REF!</v>
      </c>
      <c r="J37" s="137"/>
      <c r="K37" s="126"/>
    </row>
    <row r="38" spans="1:11">
      <c r="B38" s="144"/>
      <c r="D38" s="4"/>
      <c r="E38" s="16"/>
      <c r="F38" s="16"/>
    </row>
    <row r="39" spans="1:11">
      <c r="A39" s="56"/>
      <c r="B39" s="59"/>
      <c r="C39" s="56" t="s">
        <v>237</v>
      </c>
      <c r="D39" s="14" t="e">
        <f>#REF!+#REF!</f>
        <v>#REF!</v>
      </c>
      <c r="E39" s="16"/>
      <c r="J39" s="24"/>
    </row>
    <row r="40" spans="1:11">
      <c r="E40" s="16"/>
    </row>
    <row r="41" spans="1:11" ht="15">
      <c r="B41" s="145"/>
      <c r="C41" s="145"/>
      <c r="E41" s="31"/>
    </row>
    <row r="43" spans="1:11" ht="26.25">
      <c r="D43" s="4"/>
      <c r="E43" s="32"/>
      <c r="F43" s="33"/>
      <c r="G43" s="33"/>
      <c r="H43" s="33"/>
      <c r="I43" s="33"/>
      <c r="J43" s="4"/>
    </row>
    <row r="44" spans="1:11" ht="26.25">
      <c r="D44" s="4"/>
      <c r="E44" s="32"/>
      <c r="F44" s="33"/>
      <c r="G44" s="33"/>
      <c r="H44" s="33"/>
      <c r="I44" s="33"/>
      <c r="J44" s="4"/>
    </row>
    <row r="45" spans="1:11" ht="26.25">
      <c r="D45" s="4"/>
      <c r="E45" s="32"/>
      <c r="F45" s="33"/>
      <c r="G45" s="33"/>
      <c r="H45" s="33"/>
      <c r="I45" s="33"/>
      <c r="J45" s="4"/>
    </row>
    <row r="46" spans="1:11" ht="26.25">
      <c r="D46" s="4"/>
      <c r="E46" s="32"/>
      <c r="F46" s="33"/>
      <c r="G46" s="33"/>
      <c r="H46" s="33"/>
      <c r="I46" s="33"/>
      <c r="J46" s="4"/>
    </row>
    <row r="47" spans="1:11" ht="25.5">
      <c r="D47" s="4"/>
      <c r="E47" s="35"/>
      <c r="J47" s="4"/>
    </row>
    <row r="48" spans="1:11" ht="25.5">
      <c r="D48" s="4"/>
      <c r="E48" s="35"/>
      <c r="J48" s="4"/>
    </row>
  </sheetData>
  <mergeCells count="7">
    <mergeCell ref="A36:C36"/>
    <mergeCell ref="A5:A7"/>
    <mergeCell ref="B5:B7"/>
    <mergeCell ref="C5:C7"/>
    <mergeCell ref="D5:J5"/>
    <mergeCell ref="E6:J6"/>
    <mergeCell ref="J7:J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61"/>
  <sheetViews>
    <sheetView tabSelected="1" workbookViewId="0">
      <pane ySplit="6" topLeftCell="A129" activePane="bottomLeft" state="frozen"/>
      <selection pane="bottomLeft" activeCell="L136" sqref="L136"/>
    </sheetView>
  </sheetViews>
  <sheetFormatPr defaultRowHeight="14.25"/>
  <cols>
    <col min="1" max="1" width="4.25" style="4" customWidth="1"/>
    <col min="2" max="2" width="31.25" style="4" customWidth="1"/>
    <col min="3" max="3" width="4.875" style="4" hidden="1" customWidth="1"/>
    <col min="4" max="4" width="12.625" style="6" hidden="1" customWidth="1"/>
    <col min="5" max="5" width="17.125" style="4" hidden="1" customWidth="1"/>
    <col min="6" max="8" width="12" style="4" hidden="1" customWidth="1"/>
    <col min="9" max="9" width="14.375" style="4" hidden="1" customWidth="1"/>
    <col min="10" max="10" width="14.875" style="6" hidden="1" customWidth="1"/>
    <col min="11" max="11" width="11.125" style="4" customWidth="1"/>
    <col min="12" max="16384" width="9" style="4"/>
  </cols>
  <sheetData>
    <row r="2" spans="1:10" ht="15.75">
      <c r="A2" s="1"/>
      <c r="B2" s="2" t="s">
        <v>434</v>
      </c>
      <c r="C2" s="1"/>
      <c r="D2" s="3"/>
      <c r="E2" s="5"/>
    </row>
    <row r="3" spans="1:10">
      <c r="A3" s="1"/>
      <c r="C3" s="1"/>
      <c r="D3" s="3"/>
    </row>
    <row r="4" spans="1:10" ht="15">
      <c r="A4" s="210" t="s">
        <v>2</v>
      </c>
      <c r="B4" s="210" t="s">
        <v>3</v>
      </c>
      <c r="C4" s="192" t="s">
        <v>233</v>
      </c>
      <c r="D4" s="214"/>
      <c r="E4" s="214"/>
      <c r="F4" s="214"/>
      <c r="G4" s="214"/>
      <c r="H4" s="214"/>
      <c r="I4" s="214"/>
      <c r="J4" s="214"/>
    </row>
    <row r="5" spans="1:10" ht="15">
      <c r="A5" s="211"/>
      <c r="B5" s="211"/>
      <c r="C5" s="193"/>
      <c r="D5" s="161"/>
      <c r="E5" s="215"/>
      <c r="F5" s="215"/>
      <c r="G5" s="215"/>
      <c r="H5" s="215"/>
      <c r="I5" s="215"/>
      <c r="J5" s="215"/>
    </row>
    <row r="6" spans="1:10" ht="12.75" customHeight="1">
      <c r="A6" s="212"/>
      <c r="B6" s="212"/>
      <c r="C6" s="194"/>
      <c r="D6" s="158"/>
      <c r="E6" s="160"/>
      <c r="F6" s="160"/>
      <c r="G6" s="159"/>
      <c r="H6" s="159"/>
      <c r="I6" s="159"/>
      <c r="J6" s="162"/>
    </row>
    <row r="7" spans="1:10" ht="15">
      <c r="A7" s="163">
        <v>1</v>
      </c>
      <c r="B7" s="164" t="s">
        <v>238</v>
      </c>
      <c r="C7" s="157" t="s">
        <v>239</v>
      </c>
      <c r="D7" s="14"/>
      <c r="E7" s="109"/>
      <c r="F7" s="106"/>
      <c r="G7" s="106"/>
      <c r="H7" s="106"/>
      <c r="I7" s="106"/>
      <c r="J7" s="107"/>
    </row>
    <row r="8" spans="1:10" ht="15">
      <c r="A8" s="163">
        <v>2</v>
      </c>
      <c r="B8" s="164" t="s">
        <v>240</v>
      </c>
      <c r="C8" s="13" t="s">
        <v>239</v>
      </c>
      <c r="D8" s="14"/>
      <c r="E8" s="109"/>
      <c r="F8" s="106"/>
      <c r="G8" s="106"/>
      <c r="H8" s="106"/>
      <c r="I8" s="106"/>
      <c r="J8" s="146"/>
    </row>
    <row r="9" spans="1:10" ht="15">
      <c r="A9" s="163">
        <v>3</v>
      </c>
      <c r="B9" s="164" t="s">
        <v>241</v>
      </c>
      <c r="C9" s="13" t="s">
        <v>239</v>
      </c>
      <c r="D9" s="14"/>
      <c r="E9" s="109"/>
      <c r="F9" s="106"/>
      <c r="G9" s="106"/>
      <c r="H9" s="106"/>
      <c r="I9" s="106"/>
      <c r="J9" s="146"/>
    </row>
    <row r="10" spans="1:10" ht="15">
      <c r="A10" s="163">
        <v>4</v>
      </c>
      <c r="B10" s="164" t="s">
        <v>242</v>
      </c>
      <c r="C10" s="13" t="s">
        <v>239</v>
      </c>
      <c r="D10" s="14"/>
      <c r="E10" s="109"/>
      <c r="F10" s="106"/>
      <c r="G10" s="106"/>
      <c r="H10" s="106"/>
      <c r="I10" s="106"/>
      <c r="J10" s="146"/>
    </row>
    <row r="11" spans="1:10" ht="15">
      <c r="A11" s="163">
        <v>5</v>
      </c>
      <c r="B11" s="164" t="s">
        <v>243</v>
      </c>
      <c r="C11" s="13" t="s">
        <v>239</v>
      </c>
      <c r="D11" s="14"/>
      <c r="E11" s="109"/>
      <c r="F11" s="106"/>
      <c r="G11" s="106"/>
      <c r="H11" s="106"/>
      <c r="I11" s="106"/>
      <c r="J11" s="146"/>
    </row>
    <row r="12" spans="1:10" ht="15">
      <c r="A12" s="163">
        <v>6</v>
      </c>
      <c r="B12" s="164" t="s">
        <v>244</v>
      </c>
      <c r="C12" s="13" t="s">
        <v>239</v>
      </c>
      <c r="D12" s="14"/>
      <c r="E12" s="109"/>
      <c r="F12" s="106"/>
      <c r="G12" s="106"/>
      <c r="H12" s="106"/>
      <c r="I12" s="106"/>
      <c r="J12" s="146"/>
    </row>
    <row r="13" spans="1:10" ht="15">
      <c r="A13" s="163">
        <v>7</v>
      </c>
      <c r="B13" s="164" t="s">
        <v>245</v>
      </c>
      <c r="C13" s="13" t="s">
        <v>239</v>
      </c>
      <c r="D13" s="14"/>
      <c r="E13" s="109"/>
      <c r="F13" s="106"/>
      <c r="G13" s="106"/>
      <c r="H13" s="106"/>
      <c r="I13" s="106"/>
      <c r="J13" s="146"/>
    </row>
    <row r="14" spans="1:10" ht="15">
      <c r="A14" s="163">
        <v>8</v>
      </c>
      <c r="B14" s="164" t="s">
        <v>246</v>
      </c>
      <c r="C14" s="13" t="s">
        <v>239</v>
      </c>
      <c r="D14" s="14"/>
      <c r="E14" s="109"/>
      <c r="F14" s="106"/>
      <c r="G14" s="106"/>
      <c r="H14" s="106"/>
      <c r="I14" s="106"/>
      <c r="J14" s="146"/>
    </row>
    <row r="15" spans="1:10" ht="15">
      <c r="A15" s="163">
        <v>9</v>
      </c>
      <c r="B15" s="164" t="s">
        <v>247</v>
      </c>
      <c r="C15" s="13" t="s">
        <v>239</v>
      </c>
      <c r="D15" s="14"/>
      <c r="E15" s="109"/>
      <c r="F15" s="106"/>
      <c r="G15" s="106"/>
      <c r="H15" s="106"/>
      <c r="I15" s="106"/>
      <c r="J15" s="146"/>
    </row>
    <row r="16" spans="1:10" ht="15">
      <c r="A16" s="163">
        <v>10</v>
      </c>
      <c r="B16" s="164" t="s">
        <v>248</v>
      </c>
      <c r="C16" s="13" t="s">
        <v>239</v>
      </c>
      <c r="D16" s="14"/>
      <c r="E16" s="109"/>
      <c r="F16" s="106"/>
      <c r="G16" s="106"/>
      <c r="H16" s="106"/>
      <c r="I16" s="106"/>
      <c r="J16" s="146"/>
    </row>
    <row r="17" spans="1:10" ht="15">
      <c r="A17" s="163">
        <v>11</v>
      </c>
      <c r="B17" s="164" t="s">
        <v>249</v>
      </c>
      <c r="C17" s="13" t="s">
        <v>239</v>
      </c>
      <c r="D17" s="14"/>
      <c r="E17" s="109"/>
      <c r="F17" s="106"/>
      <c r="G17" s="106"/>
      <c r="H17" s="106"/>
      <c r="I17" s="106"/>
      <c r="J17" s="146"/>
    </row>
    <row r="18" spans="1:10" ht="15">
      <c r="A18" s="163">
        <v>12</v>
      </c>
      <c r="B18" s="164" t="s">
        <v>253</v>
      </c>
      <c r="C18" s="13" t="s">
        <v>239</v>
      </c>
      <c r="D18" s="14"/>
      <c r="E18" s="109"/>
      <c r="F18" s="106"/>
      <c r="G18" s="106"/>
      <c r="H18" s="106"/>
      <c r="I18" s="106"/>
      <c r="J18" s="146"/>
    </row>
    <row r="19" spans="1:10" ht="15">
      <c r="A19" s="163">
        <v>13</v>
      </c>
      <c r="B19" s="164" t="s">
        <v>255</v>
      </c>
      <c r="C19" s="13" t="s">
        <v>239</v>
      </c>
      <c r="D19" s="14"/>
      <c r="E19" s="109"/>
      <c r="F19" s="106"/>
      <c r="G19" s="106"/>
      <c r="H19" s="106"/>
      <c r="I19" s="106"/>
      <c r="J19" s="146"/>
    </row>
    <row r="20" spans="1:10" ht="15">
      <c r="A20" s="163">
        <v>14</v>
      </c>
      <c r="B20" s="164" t="s">
        <v>256</v>
      </c>
      <c r="C20" s="13" t="s">
        <v>239</v>
      </c>
      <c r="D20" s="14"/>
      <c r="E20" s="109"/>
      <c r="F20" s="106"/>
      <c r="G20" s="106"/>
      <c r="H20" s="106"/>
      <c r="I20" s="106"/>
      <c r="J20" s="146"/>
    </row>
    <row r="21" spans="1:10" ht="15">
      <c r="A21" s="163">
        <v>15</v>
      </c>
      <c r="B21" s="164" t="s">
        <v>259</v>
      </c>
      <c r="C21" s="13" t="s">
        <v>239</v>
      </c>
      <c r="D21" s="14"/>
      <c r="E21" s="109"/>
      <c r="F21" s="106"/>
      <c r="G21" s="106"/>
      <c r="H21" s="106"/>
      <c r="I21" s="106"/>
      <c r="J21" s="146"/>
    </row>
    <row r="22" spans="1:10" ht="15">
      <c r="A22" s="163">
        <v>16</v>
      </c>
      <c r="B22" s="164" t="s">
        <v>260</v>
      </c>
      <c r="C22" s="13" t="s">
        <v>239</v>
      </c>
      <c r="D22" s="14"/>
      <c r="E22" s="109"/>
      <c r="F22" s="106"/>
      <c r="G22" s="106"/>
      <c r="H22" s="106"/>
      <c r="I22" s="106"/>
      <c r="J22" s="146"/>
    </row>
    <row r="23" spans="1:10" ht="15">
      <c r="A23" s="163">
        <v>17</v>
      </c>
      <c r="B23" s="164" t="s">
        <v>261</v>
      </c>
      <c r="C23" s="13" t="s">
        <v>239</v>
      </c>
      <c r="D23" s="14"/>
      <c r="E23" s="109"/>
      <c r="F23" s="106"/>
      <c r="G23" s="106"/>
      <c r="H23" s="106"/>
      <c r="I23" s="106"/>
      <c r="J23" s="146"/>
    </row>
    <row r="24" spans="1:10" ht="15">
      <c r="A24" s="163">
        <v>18</v>
      </c>
      <c r="B24" s="164" t="s">
        <v>262</v>
      </c>
      <c r="C24" s="13" t="s">
        <v>239</v>
      </c>
      <c r="D24" s="14"/>
      <c r="E24" s="109"/>
      <c r="F24" s="106"/>
      <c r="G24" s="106"/>
      <c r="H24" s="106"/>
      <c r="I24" s="106"/>
      <c r="J24" s="146"/>
    </row>
    <row r="25" spans="1:10" ht="15">
      <c r="A25" s="163">
        <v>19</v>
      </c>
      <c r="B25" s="164" t="s">
        <v>263</v>
      </c>
      <c r="C25" s="13" t="s">
        <v>239</v>
      </c>
      <c r="D25" s="14"/>
      <c r="E25" s="109"/>
      <c r="F25" s="106"/>
      <c r="G25" s="106"/>
      <c r="H25" s="106"/>
      <c r="I25" s="106"/>
      <c r="J25" s="146"/>
    </row>
    <row r="26" spans="1:10" ht="15">
      <c r="A26" s="163">
        <v>20</v>
      </c>
      <c r="B26" s="164" t="s">
        <v>264</v>
      </c>
      <c r="C26" s="13" t="s">
        <v>239</v>
      </c>
      <c r="D26" s="14"/>
      <c r="E26" s="109"/>
      <c r="F26" s="106"/>
      <c r="G26" s="106"/>
      <c r="H26" s="106"/>
      <c r="I26" s="106"/>
      <c r="J26" s="146"/>
    </row>
    <row r="27" spans="1:10" ht="15">
      <c r="A27" s="163">
        <v>21</v>
      </c>
      <c r="B27" s="164" t="s">
        <v>267</v>
      </c>
      <c r="C27" s="13" t="s">
        <v>239</v>
      </c>
      <c r="D27" s="14"/>
      <c r="E27" s="109"/>
      <c r="F27" s="106"/>
      <c r="G27" s="106"/>
      <c r="H27" s="106"/>
      <c r="I27" s="106"/>
      <c r="J27" s="146"/>
    </row>
    <row r="28" spans="1:10" ht="15">
      <c r="A28" s="163">
        <v>22</v>
      </c>
      <c r="B28" s="164" t="s">
        <v>269</v>
      </c>
      <c r="C28" s="13" t="s">
        <v>237</v>
      </c>
      <c r="D28" s="14"/>
      <c r="E28" s="109"/>
      <c r="F28" s="106"/>
      <c r="G28" s="106"/>
      <c r="H28" s="106"/>
      <c r="I28" s="106"/>
      <c r="J28" s="146"/>
    </row>
    <row r="29" spans="1:10" ht="15">
      <c r="A29" s="163">
        <v>23</v>
      </c>
      <c r="B29" s="164" t="s">
        <v>270</v>
      </c>
      <c r="C29" s="13" t="s">
        <v>239</v>
      </c>
      <c r="D29" s="14"/>
      <c r="E29" s="109"/>
      <c r="F29" s="106"/>
      <c r="G29" s="106"/>
      <c r="H29" s="106"/>
      <c r="I29" s="106"/>
      <c r="J29" s="146"/>
    </row>
    <row r="30" spans="1:10" ht="15">
      <c r="A30" s="163">
        <v>24</v>
      </c>
      <c r="B30" s="164" t="s">
        <v>271</v>
      </c>
      <c r="C30" s="13" t="s">
        <v>239</v>
      </c>
      <c r="D30" s="14"/>
      <c r="E30" s="109"/>
      <c r="F30" s="106"/>
      <c r="G30" s="106"/>
      <c r="H30" s="106"/>
      <c r="I30" s="106"/>
      <c r="J30" s="146"/>
    </row>
    <row r="31" spans="1:10" ht="15">
      <c r="A31" s="163">
        <v>25</v>
      </c>
      <c r="B31" s="164" t="s">
        <v>274</v>
      </c>
      <c r="C31" s="13" t="s">
        <v>239</v>
      </c>
      <c r="D31" s="14"/>
      <c r="E31" s="109"/>
      <c r="F31" s="106"/>
      <c r="G31" s="106"/>
      <c r="H31" s="106"/>
      <c r="I31" s="106"/>
      <c r="J31" s="146"/>
    </row>
    <row r="32" spans="1:10" ht="15">
      <c r="A32" s="163">
        <v>26</v>
      </c>
      <c r="B32" s="164" t="s">
        <v>275</v>
      </c>
      <c r="C32" s="13" t="s">
        <v>239</v>
      </c>
      <c r="D32" s="14"/>
      <c r="E32" s="109"/>
      <c r="F32" s="106"/>
      <c r="G32" s="106"/>
      <c r="H32" s="106"/>
      <c r="I32" s="106"/>
      <c r="J32" s="146"/>
    </row>
    <row r="33" spans="1:10" ht="15">
      <c r="A33" s="163">
        <v>27</v>
      </c>
      <c r="B33" s="164" t="s">
        <v>276</v>
      </c>
      <c r="C33" s="13" t="s">
        <v>239</v>
      </c>
      <c r="D33" s="14"/>
      <c r="E33" s="109"/>
      <c r="F33" s="106"/>
      <c r="G33" s="106"/>
      <c r="H33" s="106"/>
      <c r="I33" s="106"/>
      <c r="J33" s="146"/>
    </row>
    <row r="34" spans="1:10" ht="15">
      <c r="A34" s="163">
        <v>28</v>
      </c>
      <c r="B34" s="164" t="s">
        <v>277</v>
      </c>
      <c r="C34" s="13" t="s">
        <v>239</v>
      </c>
      <c r="D34" s="14"/>
      <c r="E34" s="109"/>
      <c r="F34" s="106"/>
      <c r="G34" s="106"/>
      <c r="H34" s="106"/>
      <c r="I34" s="106"/>
      <c r="J34" s="146"/>
    </row>
    <row r="35" spans="1:10" ht="15">
      <c r="A35" s="163">
        <v>29</v>
      </c>
      <c r="B35" s="164" t="s">
        <v>278</v>
      </c>
      <c r="C35" s="13" t="s">
        <v>239</v>
      </c>
      <c r="D35" s="14"/>
      <c r="E35" s="109"/>
      <c r="F35" s="106"/>
      <c r="G35" s="106"/>
      <c r="H35" s="106"/>
      <c r="I35" s="106"/>
      <c r="J35" s="146"/>
    </row>
    <row r="36" spans="1:10" ht="15">
      <c r="A36" s="163">
        <v>30</v>
      </c>
      <c r="B36" s="164" t="s">
        <v>279</v>
      </c>
      <c r="C36" s="13" t="s">
        <v>239</v>
      </c>
      <c r="D36" s="14"/>
      <c r="E36" s="109"/>
      <c r="F36" s="106"/>
      <c r="G36" s="106"/>
      <c r="H36" s="106"/>
      <c r="I36" s="106"/>
      <c r="J36" s="146"/>
    </row>
    <row r="37" spans="1:10" ht="15">
      <c r="A37" s="163">
        <v>31</v>
      </c>
      <c r="B37" s="164" t="s">
        <v>280</v>
      </c>
      <c r="C37" s="13" t="s">
        <v>239</v>
      </c>
      <c r="D37" s="14"/>
      <c r="E37" s="109"/>
      <c r="F37" s="106"/>
      <c r="G37" s="106"/>
      <c r="H37" s="106"/>
      <c r="I37" s="106"/>
      <c r="J37" s="146"/>
    </row>
    <row r="38" spans="1:10" ht="15">
      <c r="A38" s="163">
        <v>32</v>
      </c>
      <c r="B38" s="164" t="s">
        <v>432</v>
      </c>
      <c r="C38" s="13"/>
      <c r="D38" s="14"/>
      <c r="E38" s="109"/>
      <c r="F38" s="106"/>
      <c r="G38" s="106"/>
      <c r="H38" s="106"/>
      <c r="I38" s="106"/>
      <c r="J38" s="146"/>
    </row>
    <row r="39" spans="1:10" ht="15">
      <c r="A39" s="163">
        <v>33</v>
      </c>
      <c r="B39" s="164" t="s">
        <v>281</v>
      </c>
      <c r="C39" s="13" t="s">
        <v>239</v>
      </c>
      <c r="D39" s="14"/>
      <c r="E39" s="109"/>
      <c r="F39" s="106"/>
      <c r="G39" s="106"/>
      <c r="H39" s="106"/>
      <c r="I39" s="106"/>
      <c r="J39" s="146"/>
    </row>
    <row r="40" spans="1:10" ht="15">
      <c r="A40" s="163">
        <v>34</v>
      </c>
      <c r="B40" s="164" t="s">
        <v>282</v>
      </c>
      <c r="C40" s="13" t="s">
        <v>239</v>
      </c>
      <c r="D40" s="14"/>
      <c r="E40" s="109"/>
      <c r="F40" s="106"/>
      <c r="G40" s="106"/>
      <c r="H40" s="106"/>
      <c r="I40" s="106"/>
      <c r="J40" s="146"/>
    </row>
    <row r="41" spans="1:10" ht="15">
      <c r="A41" s="163">
        <v>35</v>
      </c>
      <c r="B41" s="164" t="s">
        <v>283</v>
      </c>
      <c r="C41" s="13" t="s">
        <v>239</v>
      </c>
      <c r="D41" s="14"/>
      <c r="E41" s="109"/>
      <c r="F41" s="106"/>
      <c r="G41" s="106"/>
      <c r="H41" s="106"/>
      <c r="I41" s="106"/>
      <c r="J41" s="146"/>
    </row>
    <row r="42" spans="1:10" ht="15">
      <c r="A42" s="163">
        <v>36</v>
      </c>
      <c r="B42" s="164" t="s">
        <v>284</v>
      </c>
      <c r="C42" s="13" t="s">
        <v>239</v>
      </c>
      <c r="D42" s="14"/>
      <c r="E42" s="109"/>
      <c r="F42" s="106"/>
      <c r="G42" s="106"/>
      <c r="H42" s="106"/>
      <c r="I42" s="106"/>
      <c r="J42" s="146"/>
    </row>
    <row r="43" spans="1:10" ht="15">
      <c r="A43" s="163">
        <v>37</v>
      </c>
      <c r="B43" s="164" t="s">
        <v>285</v>
      </c>
      <c r="C43" s="13" t="s">
        <v>239</v>
      </c>
      <c r="D43" s="14"/>
      <c r="E43" s="109"/>
      <c r="F43" s="106"/>
      <c r="G43" s="106"/>
      <c r="H43" s="106"/>
      <c r="I43" s="106"/>
      <c r="J43" s="146"/>
    </row>
    <row r="44" spans="1:10" ht="15">
      <c r="A44" s="163">
        <v>38</v>
      </c>
      <c r="B44" s="164" t="s">
        <v>287</v>
      </c>
      <c r="C44" s="13" t="s">
        <v>239</v>
      </c>
      <c r="D44" s="14"/>
      <c r="E44" s="109"/>
      <c r="F44" s="106"/>
      <c r="G44" s="106"/>
      <c r="H44" s="106"/>
      <c r="I44" s="106"/>
      <c r="J44" s="146"/>
    </row>
    <row r="45" spans="1:10" ht="15">
      <c r="A45" s="163">
        <v>39</v>
      </c>
      <c r="B45" s="165" t="s">
        <v>288</v>
      </c>
      <c r="C45" s="13" t="s">
        <v>239</v>
      </c>
      <c r="D45" s="14"/>
      <c r="E45" s="109"/>
      <c r="F45" s="106"/>
      <c r="G45" s="106"/>
      <c r="H45" s="106"/>
      <c r="I45" s="106"/>
      <c r="J45" s="146"/>
    </row>
    <row r="46" spans="1:10" ht="15">
      <c r="A46" s="163">
        <v>40</v>
      </c>
      <c r="B46" s="164" t="s">
        <v>289</v>
      </c>
      <c r="C46" s="13" t="s">
        <v>239</v>
      </c>
      <c r="D46" s="14"/>
      <c r="E46" s="109"/>
      <c r="F46" s="106"/>
      <c r="G46" s="106"/>
      <c r="H46" s="106"/>
      <c r="I46" s="106"/>
      <c r="J46" s="146"/>
    </row>
    <row r="47" spans="1:10" ht="15">
      <c r="A47" s="163">
        <v>41</v>
      </c>
      <c r="B47" s="164" t="s">
        <v>290</v>
      </c>
      <c r="C47" s="13" t="s">
        <v>239</v>
      </c>
      <c r="D47" s="14"/>
      <c r="E47" s="109"/>
      <c r="F47" s="106"/>
      <c r="G47" s="106"/>
      <c r="H47" s="106"/>
      <c r="I47" s="106"/>
      <c r="J47" s="146"/>
    </row>
    <row r="48" spans="1:10" ht="15">
      <c r="A48" s="163">
        <v>42</v>
      </c>
      <c r="B48" s="164" t="s">
        <v>291</v>
      </c>
      <c r="C48" s="13" t="s">
        <v>239</v>
      </c>
      <c r="D48" s="14"/>
      <c r="E48" s="109"/>
      <c r="F48" s="106"/>
      <c r="G48" s="106"/>
      <c r="H48" s="106"/>
      <c r="I48" s="106"/>
      <c r="J48" s="146"/>
    </row>
    <row r="49" spans="1:10" ht="15">
      <c r="A49" s="163">
        <v>43</v>
      </c>
      <c r="B49" s="164" t="s">
        <v>292</v>
      </c>
      <c r="C49" s="13" t="s">
        <v>239</v>
      </c>
      <c r="D49" s="14"/>
      <c r="E49" s="109"/>
      <c r="F49" s="106"/>
      <c r="G49" s="106"/>
      <c r="H49" s="106"/>
      <c r="I49" s="106"/>
      <c r="J49" s="146"/>
    </row>
    <row r="50" spans="1:10" ht="15">
      <c r="A50" s="163">
        <v>44</v>
      </c>
      <c r="B50" s="164" t="s">
        <v>293</v>
      </c>
      <c r="C50" s="13" t="s">
        <v>239</v>
      </c>
      <c r="D50" s="14"/>
      <c r="E50" s="109"/>
      <c r="F50" s="106"/>
      <c r="G50" s="106"/>
      <c r="H50" s="106"/>
      <c r="I50" s="106"/>
      <c r="J50" s="146"/>
    </row>
    <row r="51" spans="1:10" ht="15">
      <c r="A51" s="163">
        <v>45</v>
      </c>
      <c r="B51" s="164" t="s">
        <v>294</v>
      </c>
      <c r="C51" s="13" t="s">
        <v>239</v>
      </c>
      <c r="D51" s="14"/>
      <c r="E51" s="109"/>
      <c r="F51" s="106"/>
      <c r="G51" s="106"/>
      <c r="H51" s="106"/>
      <c r="I51" s="106"/>
      <c r="J51" s="146"/>
    </row>
    <row r="52" spans="1:10" ht="15">
      <c r="A52" s="163">
        <v>46</v>
      </c>
      <c r="B52" s="164" t="s">
        <v>295</v>
      </c>
      <c r="C52" s="13" t="s">
        <v>239</v>
      </c>
      <c r="D52" s="14"/>
      <c r="E52" s="109"/>
      <c r="F52" s="106"/>
      <c r="G52" s="106"/>
      <c r="H52" s="106"/>
      <c r="I52" s="106"/>
      <c r="J52" s="146"/>
    </row>
    <row r="53" spans="1:10" ht="15">
      <c r="A53" s="163">
        <v>47</v>
      </c>
      <c r="B53" s="164" t="s">
        <v>296</v>
      </c>
      <c r="C53" s="13" t="s">
        <v>239</v>
      </c>
      <c r="D53" s="14"/>
      <c r="E53" s="109"/>
      <c r="F53" s="106"/>
      <c r="G53" s="106"/>
      <c r="H53" s="106"/>
      <c r="I53" s="106"/>
      <c r="J53" s="146"/>
    </row>
    <row r="54" spans="1:10" ht="15">
      <c r="A54" s="163">
        <v>48</v>
      </c>
      <c r="B54" s="164" t="s">
        <v>297</v>
      </c>
      <c r="C54" s="13" t="s">
        <v>239</v>
      </c>
      <c r="D54" s="14"/>
      <c r="E54" s="109"/>
      <c r="F54" s="106"/>
      <c r="G54" s="106"/>
      <c r="H54" s="106"/>
      <c r="I54" s="106"/>
      <c r="J54" s="146"/>
    </row>
    <row r="55" spans="1:10" ht="15">
      <c r="A55" s="163">
        <v>49</v>
      </c>
      <c r="B55" s="164" t="s">
        <v>298</v>
      </c>
      <c r="C55" s="13" t="s">
        <v>239</v>
      </c>
      <c r="D55" s="14"/>
      <c r="E55" s="109"/>
      <c r="F55" s="106"/>
      <c r="G55" s="106"/>
      <c r="H55" s="106"/>
      <c r="I55" s="106"/>
      <c r="J55" s="146"/>
    </row>
    <row r="56" spans="1:10" ht="15">
      <c r="A56" s="163">
        <v>50</v>
      </c>
      <c r="B56" s="164" t="s">
        <v>300</v>
      </c>
      <c r="C56" s="13" t="s">
        <v>239</v>
      </c>
      <c r="D56" s="14"/>
      <c r="E56" s="109"/>
      <c r="F56" s="106"/>
      <c r="G56" s="106"/>
      <c r="H56" s="106"/>
      <c r="I56" s="106"/>
      <c r="J56" s="146"/>
    </row>
    <row r="57" spans="1:10" ht="15">
      <c r="A57" s="163">
        <v>51</v>
      </c>
      <c r="B57" s="164" t="s">
        <v>302</v>
      </c>
      <c r="C57" s="13" t="s">
        <v>239</v>
      </c>
      <c r="D57" s="14"/>
      <c r="E57" s="109"/>
      <c r="F57" s="106"/>
      <c r="G57" s="106"/>
      <c r="H57" s="106"/>
      <c r="I57" s="106"/>
      <c r="J57" s="146"/>
    </row>
    <row r="58" spans="1:10" ht="15">
      <c r="A58" s="163">
        <v>52</v>
      </c>
      <c r="B58" s="164" t="s">
        <v>303</v>
      </c>
      <c r="C58" s="13" t="s">
        <v>239</v>
      </c>
      <c r="D58" s="14"/>
      <c r="E58" s="109"/>
      <c r="F58" s="106"/>
      <c r="G58" s="106"/>
      <c r="H58" s="106"/>
      <c r="I58" s="106"/>
      <c r="J58" s="146"/>
    </row>
    <row r="59" spans="1:10" ht="15">
      <c r="A59" s="163">
        <v>53</v>
      </c>
      <c r="B59" s="164" t="s">
        <v>304</v>
      </c>
      <c r="C59" s="13" t="s">
        <v>239</v>
      </c>
      <c r="D59" s="14"/>
      <c r="E59" s="109"/>
      <c r="F59" s="106"/>
      <c r="G59" s="106"/>
      <c r="H59" s="106"/>
      <c r="I59" s="106"/>
      <c r="J59" s="146"/>
    </row>
    <row r="60" spans="1:10" ht="15">
      <c r="A60" s="163">
        <v>54</v>
      </c>
      <c r="B60" s="164" t="s">
        <v>305</v>
      </c>
      <c r="C60" s="13" t="s">
        <v>239</v>
      </c>
      <c r="D60" s="14"/>
      <c r="E60" s="109"/>
      <c r="F60" s="106"/>
      <c r="G60" s="106"/>
      <c r="H60" s="106"/>
      <c r="I60" s="106"/>
      <c r="J60" s="146"/>
    </row>
    <row r="61" spans="1:10" ht="15">
      <c r="A61" s="163">
        <v>55</v>
      </c>
      <c r="B61" s="164" t="s">
        <v>306</v>
      </c>
      <c r="C61" s="13" t="s">
        <v>239</v>
      </c>
      <c r="D61" s="14"/>
      <c r="E61" s="109"/>
      <c r="F61" s="106"/>
      <c r="G61" s="106"/>
      <c r="H61" s="106"/>
      <c r="I61" s="106"/>
      <c r="J61" s="146"/>
    </row>
    <row r="62" spans="1:10" ht="15">
      <c r="A62" s="163">
        <v>56</v>
      </c>
      <c r="B62" s="164" t="s">
        <v>307</v>
      </c>
      <c r="C62" s="13" t="s">
        <v>239</v>
      </c>
      <c r="D62" s="14"/>
      <c r="E62" s="109"/>
      <c r="F62" s="106"/>
      <c r="G62" s="106"/>
      <c r="H62" s="106"/>
      <c r="I62" s="106"/>
      <c r="J62" s="146"/>
    </row>
    <row r="63" spans="1:10" ht="15">
      <c r="A63" s="163">
        <v>57</v>
      </c>
      <c r="B63" s="164" t="s">
        <v>308</v>
      </c>
      <c r="C63" s="13" t="s">
        <v>239</v>
      </c>
      <c r="D63" s="14"/>
      <c r="E63" s="109"/>
      <c r="F63" s="106"/>
      <c r="G63" s="106"/>
      <c r="H63" s="106"/>
      <c r="I63" s="106"/>
      <c r="J63" s="146"/>
    </row>
    <row r="64" spans="1:10" ht="15">
      <c r="A64" s="163">
        <v>58</v>
      </c>
      <c r="B64" s="164" t="s">
        <v>309</v>
      </c>
      <c r="C64" s="13" t="s">
        <v>239</v>
      </c>
      <c r="D64" s="14"/>
      <c r="E64" s="109"/>
      <c r="F64" s="106"/>
      <c r="G64" s="106"/>
      <c r="H64" s="106"/>
      <c r="I64" s="106"/>
      <c r="J64" s="146"/>
    </row>
    <row r="65" spans="1:10" ht="15">
      <c r="A65" s="163">
        <v>59</v>
      </c>
      <c r="B65" s="164" t="s">
        <v>310</v>
      </c>
      <c r="C65" s="13" t="s">
        <v>239</v>
      </c>
      <c r="D65" s="14"/>
      <c r="E65" s="109"/>
      <c r="F65" s="106"/>
      <c r="G65" s="106"/>
      <c r="H65" s="106"/>
      <c r="I65" s="106"/>
      <c r="J65" s="146"/>
    </row>
    <row r="66" spans="1:10" ht="15">
      <c r="A66" s="163">
        <v>60</v>
      </c>
      <c r="B66" s="164" t="s">
        <v>311</v>
      </c>
      <c r="C66" s="13" t="s">
        <v>239</v>
      </c>
      <c r="D66" s="14"/>
      <c r="E66" s="109"/>
      <c r="F66" s="106"/>
      <c r="G66" s="106"/>
      <c r="H66" s="106"/>
      <c r="I66" s="106"/>
      <c r="J66" s="146"/>
    </row>
    <row r="67" spans="1:10" ht="15">
      <c r="A67" s="163">
        <v>61</v>
      </c>
      <c r="B67" s="164" t="s">
        <v>312</v>
      </c>
      <c r="C67" s="13" t="s">
        <v>239</v>
      </c>
      <c r="D67" s="14"/>
      <c r="E67" s="109"/>
      <c r="F67" s="106"/>
      <c r="G67" s="106"/>
      <c r="H67" s="106"/>
      <c r="I67" s="106"/>
      <c r="J67" s="146"/>
    </row>
    <row r="68" spans="1:10" ht="15">
      <c r="A68" s="163">
        <v>62</v>
      </c>
      <c r="B68" s="164" t="s">
        <v>313</v>
      </c>
      <c r="C68" s="13" t="s">
        <v>239</v>
      </c>
      <c r="D68" s="14"/>
      <c r="E68" s="109"/>
      <c r="F68" s="106"/>
      <c r="G68" s="106"/>
      <c r="H68" s="106"/>
      <c r="I68" s="106"/>
      <c r="J68" s="146"/>
    </row>
    <row r="69" spans="1:10" ht="15">
      <c r="A69" s="163">
        <v>63</v>
      </c>
      <c r="B69" s="164" t="s">
        <v>314</v>
      </c>
      <c r="C69" s="13" t="s">
        <v>239</v>
      </c>
      <c r="D69" s="14"/>
      <c r="E69" s="109"/>
      <c r="F69" s="106"/>
      <c r="G69" s="106"/>
      <c r="H69" s="106"/>
      <c r="I69" s="106"/>
      <c r="J69" s="146"/>
    </row>
    <row r="70" spans="1:10" ht="15">
      <c r="A70" s="163">
        <v>64</v>
      </c>
      <c r="B70" s="164" t="s">
        <v>316</v>
      </c>
      <c r="C70" s="13" t="s">
        <v>239</v>
      </c>
      <c r="D70" s="14"/>
      <c r="E70" s="109"/>
      <c r="F70" s="106"/>
      <c r="G70" s="106"/>
      <c r="H70" s="106"/>
      <c r="I70" s="106"/>
      <c r="J70" s="146"/>
    </row>
    <row r="71" spans="1:10" ht="15">
      <c r="A71" s="163">
        <v>65</v>
      </c>
      <c r="B71" s="164" t="s">
        <v>318</v>
      </c>
      <c r="C71" s="13" t="s">
        <v>239</v>
      </c>
      <c r="D71" s="14"/>
      <c r="E71" s="109"/>
      <c r="F71" s="106"/>
      <c r="G71" s="106"/>
      <c r="H71" s="106"/>
      <c r="I71" s="106"/>
      <c r="J71" s="146"/>
    </row>
    <row r="72" spans="1:10" ht="15">
      <c r="A72" s="163">
        <v>66</v>
      </c>
      <c r="B72" s="164" t="s">
        <v>321</v>
      </c>
      <c r="C72" s="13" t="s">
        <v>239</v>
      </c>
      <c r="D72" s="14"/>
      <c r="E72" s="109"/>
      <c r="F72" s="106"/>
      <c r="G72" s="106"/>
      <c r="H72" s="106"/>
      <c r="I72" s="106"/>
      <c r="J72" s="146"/>
    </row>
    <row r="73" spans="1:10" ht="15">
      <c r="A73" s="163">
        <v>67</v>
      </c>
      <c r="B73" s="164" t="s">
        <v>322</v>
      </c>
      <c r="C73" s="13" t="s">
        <v>239</v>
      </c>
      <c r="D73" s="14"/>
      <c r="E73" s="109"/>
      <c r="F73" s="106"/>
      <c r="G73" s="106"/>
      <c r="H73" s="106"/>
      <c r="I73" s="106"/>
      <c r="J73" s="146"/>
    </row>
    <row r="74" spans="1:10" ht="15">
      <c r="A74" s="163">
        <v>68</v>
      </c>
      <c r="B74" s="164" t="s">
        <v>323</v>
      </c>
      <c r="C74" s="13" t="s">
        <v>239</v>
      </c>
      <c r="D74" s="14"/>
      <c r="E74" s="109"/>
      <c r="F74" s="106"/>
      <c r="G74" s="106"/>
      <c r="H74" s="106"/>
      <c r="I74" s="106"/>
      <c r="J74" s="146"/>
    </row>
    <row r="75" spans="1:10" ht="15">
      <c r="A75" s="163">
        <v>69</v>
      </c>
      <c r="B75" s="164" t="s">
        <v>324</v>
      </c>
      <c r="C75" s="13" t="s">
        <v>239</v>
      </c>
      <c r="D75" s="14"/>
      <c r="E75" s="109"/>
      <c r="F75" s="106"/>
      <c r="G75" s="106"/>
      <c r="H75" s="106"/>
      <c r="I75" s="106"/>
      <c r="J75" s="146"/>
    </row>
    <row r="76" spans="1:10" ht="15">
      <c r="A76" s="163">
        <v>70</v>
      </c>
      <c r="B76" s="164" t="s">
        <v>328</v>
      </c>
      <c r="C76" s="13" t="s">
        <v>239</v>
      </c>
      <c r="D76" s="14"/>
      <c r="E76" s="109"/>
      <c r="F76" s="106"/>
      <c r="G76" s="106"/>
      <c r="H76" s="106"/>
      <c r="I76" s="106"/>
      <c r="J76" s="146"/>
    </row>
    <row r="77" spans="1:10" ht="15">
      <c r="A77" s="163">
        <v>71</v>
      </c>
      <c r="B77" s="164" t="s">
        <v>329</v>
      </c>
      <c r="C77" s="13" t="s">
        <v>239</v>
      </c>
      <c r="D77" s="14"/>
      <c r="E77" s="109"/>
      <c r="F77" s="106"/>
      <c r="G77" s="106"/>
      <c r="H77" s="106"/>
      <c r="I77" s="106"/>
      <c r="J77" s="146"/>
    </row>
    <row r="78" spans="1:10" ht="15">
      <c r="A78" s="163">
        <v>72</v>
      </c>
      <c r="B78" s="164" t="s">
        <v>330</v>
      </c>
      <c r="C78" s="13" t="s">
        <v>239</v>
      </c>
      <c r="D78" s="14"/>
      <c r="E78" s="109"/>
      <c r="F78" s="106"/>
      <c r="G78" s="106"/>
      <c r="H78" s="106"/>
      <c r="I78" s="106"/>
      <c r="J78" s="146"/>
    </row>
    <row r="79" spans="1:10" ht="15">
      <c r="A79" s="163">
        <v>73</v>
      </c>
      <c r="B79" s="164" t="s">
        <v>331</v>
      </c>
      <c r="C79" s="13" t="s">
        <v>239</v>
      </c>
      <c r="D79" s="14"/>
      <c r="E79" s="109"/>
      <c r="F79" s="106"/>
      <c r="G79" s="106"/>
      <c r="H79" s="106"/>
      <c r="I79" s="106"/>
      <c r="J79" s="146"/>
    </row>
    <row r="80" spans="1:10" ht="15">
      <c r="A80" s="163">
        <v>74</v>
      </c>
      <c r="B80" s="164" t="s">
        <v>332</v>
      </c>
      <c r="C80" s="13" t="s">
        <v>239</v>
      </c>
      <c r="D80" s="14"/>
      <c r="E80" s="109"/>
      <c r="F80" s="106"/>
      <c r="G80" s="106"/>
      <c r="H80" s="106"/>
      <c r="I80" s="106"/>
      <c r="J80" s="146"/>
    </row>
    <row r="81" spans="1:10" ht="15">
      <c r="A81" s="163">
        <v>75</v>
      </c>
      <c r="B81" s="164" t="s">
        <v>334</v>
      </c>
      <c r="C81" s="13" t="s">
        <v>239</v>
      </c>
      <c r="D81" s="14"/>
      <c r="E81" s="109"/>
      <c r="F81" s="106"/>
      <c r="G81" s="106"/>
      <c r="H81" s="106"/>
      <c r="I81" s="106"/>
      <c r="J81" s="146"/>
    </row>
    <row r="82" spans="1:10" ht="15">
      <c r="A82" s="163">
        <v>76</v>
      </c>
      <c r="B82" s="164" t="s">
        <v>336</v>
      </c>
      <c r="C82" s="13" t="s">
        <v>239</v>
      </c>
      <c r="D82" s="14"/>
      <c r="E82" s="109"/>
      <c r="F82" s="106"/>
      <c r="G82" s="106"/>
      <c r="H82" s="106"/>
      <c r="I82" s="106"/>
      <c r="J82" s="146"/>
    </row>
    <row r="83" spans="1:10" ht="15">
      <c r="A83" s="163">
        <v>77</v>
      </c>
      <c r="B83" s="164" t="s">
        <v>338</v>
      </c>
      <c r="C83" s="13" t="s">
        <v>239</v>
      </c>
      <c r="D83" s="14"/>
      <c r="E83" s="109"/>
      <c r="F83" s="106"/>
      <c r="G83" s="106"/>
      <c r="H83" s="106"/>
      <c r="I83" s="106"/>
      <c r="J83" s="146"/>
    </row>
    <row r="84" spans="1:10" ht="15">
      <c r="A84" s="163">
        <v>78</v>
      </c>
      <c r="B84" s="164" t="s">
        <v>339</v>
      </c>
      <c r="C84" s="13" t="s">
        <v>239</v>
      </c>
      <c r="D84" s="14"/>
      <c r="E84" s="109"/>
      <c r="F84" s="106"/>
      <c r="G84" s="106"/>
      <c r="H84" s="106"/>
      <c r="I84" s="106"/>
      <c r="J84" s="146"/>
    </row>
    <row r="85" spans="1:10" ht="15">
      <c r="A85" s="163">
        <v>79</v>
      </c>
      <c r="B85" s="164" t="s">
        <v>341</v>
      </c>
      <c r="C85" s="13" t="s">
        <v>239</v>
      </c>
      <c r="D85" s="14"/>
      <c r="E85" s="109"/>
      <c r="F85" s="106"/>
      <c r="G85" s="106"/>
      <c r="H85" s="106"/>
      <c r="I85" s="106"/>
      <c r="J85" s="146"/>
    </row>
    <row r="86" spans="1:10" ht="15">
      <c r="A86" s="163">
        <v>80</v>
      </c>
      <c r="B86" s="164" t="s">
        <v>342</v>
      </c>
      <c r="C86" s="13" t="s">
        <v>239</v>
      </c>
      <c r="D86" s="14"/>
      <c r="E86" s="109"/>
      <c r="F86" s="106"/>
      <c r="G86" s="106"/>
      <c r="H86" s="106"/>
      <c r="I86" s="106"/>
      <c r="J86" s="146"/>
    </row>
    <row r="87" spans="1:10" ht="15">
      <c r="A87" s="163">
        <v>81</v>
      </c>
      <c r="B87" s="164" t="s">
        <v>343</v>
      </c>
      <c r="C87" s="13" t="s">
        <v>239</v>
      </c>
      <c r="D87" s="14"/>
      <c r="E87" s="109"/>
      <c r="F87" s="106"/>
      <c r="G87" s="106"/>
      <c r="H87" s="106"/>
      <c r="I87" s="106"/>
      <c r="J87" s="146"/>
    </row>
    <row r="88" spans="1:10" ht="15">
      <c r="A88" s="163">
        <v>82</v>
      </c>
      <c r="B88" s="164" t="s">
        <v>344</v>
      </c>
      <c r="C88" s="13" t="s">
        <v>239</v>
      </c>
      <c r="D88" s="14"/>
      <c r="E88" s="109"/>
      <c r="F88" s="106"/>
      <c r="G88" s="106"/>
      <c r="H88" s="106"/>
      <c r="I88" s="106"/>
      <c r="J88" s="146"/>
    </row>
    <row r="89" spans="1:10" ht="15">
      <c r="A89" s="163">
        <v>83</v>
      </c>
      <c r="B89" s="164" t="s">
        <v>344</v>
      </c>
      <c r="C89" s="13"/>
      <c r="D89" s="14"/>
      <c r="E89" s="109"/>
      <c r="F89" s="106"/>
      <c r="G89" s="106"/>
      <c r="H89" s="106"/>
      <c r="I89" s="106"/>
      <c r="J89" s="146"/>
    </row>
    <row r="90" spans="1:10" ht="15">
      <c r="A90" s="163">
        <v>84</v>
      </c>
      <c r="B90" s="164" t="s">
        <v>345</v>
      </c>
      <c r="C90" s="13" t="s">
        <v>239</v>
      </c>
      <c r="D90" s="14"/>
      <c r="E90" s="109"/>
      <c r="F90" s="106"/>
      <c r="G90" s="106"/>
      <c r="H90" s="106"/>
      <c r="I90" s="106"/>
      <c r="J90" s="146"/>
    </row>
    <row r="91" spans="1:10" ht="15">
      <c r="A91" s="163">
        <v>85</v>
      </c>
      <c r="B91" s="164" t="s">
        <v>346</v>
      </c>
      <c r="C91" s="13" t="s">
        <v>239</v>
      </c>
      <c r="D91" s="14"/>
      <c r="E91" s="109"/>
      <c r="F91" s="106"/>
      <c r="G91" s="106"/>
      <c r="H91" s="106"/>
      <c r="I91" s="106"/>
      <c r="J91" s="146"/>
    </row>
    <row r="92" spans="1:10" ht="15">
      <c r="A92" s="163">
        <v>86</v>
      </c>
      <c r="B92" s="164" t="s">
        <v>347</v>
      </c>
      <c r="C92" s="13" t="s">
        <v>239</v>
      </c>
      <c r="D92" s="14"/>
      <c r="E92" s="109"/>
      <c r="F92" s="106"/>
      <c r="G92" s="106"/>
      <c r="H92" s="106"/>
      <c r="I92" s="106"/>
      <c r="J92" s="146"/>
    </row>
    <row r="93" spans="1:10" ht="15">
      <c r="A93" s="163">
        <v>87</v>
      </c>
      <c r="B93" s="164" t="s">
        <v>348</v>
      </c>
      <c r="C93" s="13" t="s">
        <v>239</v>
      </c>
      <c r="D93" s="14"/>
      <c r="E93" s="109"/>
      <c r="F93" s="106"/>
      <c r="G93" s="106"/>
      <c r="H93" s="106"/>
      <c r="I93" s="106"/>
      <c r="J93" s="146"/>
    </row>
    <row r="94" spans="1:10" ht="15">
      <c r="A94" s="163">
        <v>88</v>
      </c>
      <c r="B94" s="164" t="s">
        <v>349</v>
      </c>
      <c r="C94" s="13" t="s">
        <v>239</v>
      </c>
      <c r="D94" s="14"/>
      <c r="E94" s="109"/>
      <c r="F94" s="106"/>
      <c r="G94" s="106"/>
      <c r="H94" s="106"/>
      <c r="I94" s="106"/>
      <c r="J94" s="146"/>
    </row>
    <row r="95" spans="1:10" ht="15">
      <c r="A95" s="163">
        <v>89</v>
      </c>
      <c r="B95" s="164" t="s">
        <v>351</v>
      </c>
      <c r="C95" s="13" t="s">
        <v>239</v>
      </c>
      <c r="D95" s="14"/>
      <c r="E95" s="109"/>
      <c r="F95" s="106"/>
      <c r="G95" s="106"/>
      <c r="H95" s="106"/>
      <c r="I95" s="106"/>
      <c r="J95" s="146"/>
    </row>
    <row r="96" spans="1:10" ht="15.75">
      <c r="A96" s="163">
        <v>90</v>
      </c>
      <c r="B96" s="166" t="s">
        <v>352</v>
      </c>
      <c r="C96" s="56" t="s">
        <v>239</v>
      </c>
      <c r="D96" s="141"/>
      <c r="E96" s="116"/>
      <c r="F96" s="115"/>
      <c r="G96" s="115"/>
      <c r="H96" s="115"/>
      <c r="I96" s="115"/>
      <c r="J96" s="147"/>
    </row>
    <row r="97" spans="1:10" ht="15">
      <c r="A97" s="163">
        <v>91</v>
      </c>
      <c r="B97" s="164" t="s">
        <v>353</v>
      </c>
      <c r="C97" s="13" t="s">
        <v>239</v>
      </c>
      <c r="D97" s="14"/>
      <c r="E97" s="109"/>
      <c r="F97" s="106"/>
      <c r="G97" s="106"/>
      <c r="H97" s="106"/>
      <c r="I97" s="106"/>
      <c r="J97" s="146"/>
    </row>
    <row r="98" spans="1:10" ht="15">
      <c r="A98" s="163">
        <v>92</v>
      </c>
      <c r="B98" s="164" t="s">
        <v>354</v>
      </c>
      <c r="C98" s="13" t="s">
        <v>239</v>
      </c>
      <c r="D98" s="14"/>
      <c r="E98" s="109"/>
      <c r="F98" s="106"/>
      <c r="G98" s="106"/>
      <c r="H98" s="106"/>
      <c r="I98" s="106"/>
      <c r="J98" s="146"/>
    </row>
    <row r="99" spans="1:10" ht="15">
      <c r="A99" s="163">
        <v>93</v>
      </c>
      <c r="B99" s="164" t="s">
        <v>355</v>
      </c>
      <c r="C99" s="13"/>
      <c r="D99" s="14"/>
      <c r="E99" s="109"/>
      <c r="F99" s="106"/>
      <c r="G99" s="106"/>
      <c r="H99" s="106"/>
      <c r="I99" s="106"/>
      <c r="J99" s="146"/>
    </row>
    <row r="100" spans="1:10" ht="15">
      <c r="A100" s="163">
        <v>94</v>
      </c>
      <c r="B100" s="164" t="s">
        <v>356</v>
      </c>
      <c r="C100" s="13" t="s">
        <v>239</v>
      </c>
      <c r="D100" s="14"/>
      <c r="E100" s="109"/>
      <c r="F100" s="106"/>
      <c r="G100" s="106"/>
      <c r="H100" s="106"/>
      <c r="I100" s="106"/>
      <c r="J100" s="146"/>
    </row>
    <row r="101" spans="1:10" ht="15">
      <c r="A101" s="163">
        <v>95</v>
      </c>
      <c r="B101" s="164" t="s">
        <v>357</v>
      </c>
      <c r="C101" s="13" t="s">
        <v>239</v>
      </c>
      <c r="D101" s="14"/>
      <c r="E101" s="109"/>
      <c r="F101" s="106"/>
      <c r="G101" s="106"/>
      <c r="H101" s="106"/>
      <c r="I101" s="106"/>
      <c r="J101" s="146"/>
    </row>
    <row r="102" spans="1:10" ht="15">
      <c r="A102" s="163">
        <v>96</v>
      </c>
      <c r="B102" s="164" t="s">
        <v>358</v>
      </c>
      <c r="C102" s="13" t="s">
        <v>239</v>
      </c>
      <c r="D102" s="14"/>
      <c r="E102" s="109"/>
      <c r="F102" s="106"/>
      <c r="G102" s="106"/>
      <c r="H102" s="106"/>
      <c r="I102" s="106"/>
      <c r="J102" s="146"/>
    </row>
    <row r="103" spans="1:10" ht="15">
      <c r="A103" s="163">
        <v>97</v>
      </c>
      <c r="B103" s="164" t="s">
        <v>359</v>
      </c>
      <c r="C103" s="13" t="s">
        <v>239</v>
      </c>
      <c r="D103" s="14"/>
      <c r="E103" s="109"/>
      <c r="F103" s="106"/>
      <c r="G103" s="106"/>
      <c r="H103" s="106"/>
      <c r="I103" s="106"/>
      <c r="J103" s="146"/>
    </row>
    <row r="104" spans="1:10" ht="15">
      <c r="A104" s="163">
        <v>98</v>
      </c>
      <c r="B104" s="164" t="s">
        <v>360</v>
      </c>
      <c r="C104" s="13" t="s">
        <v>239</v>
      </c>
      <c r="D104" s="14"/>
      <c r="E104" s="109"/>
      <c r="F104" s="106"/>
      <c r="G104" s="106"/>
      <c r="H104" s="106"/>
      <c r="I104" s="106"/>
      <c r="J104" s="146"/>
    </row>
    <row r="105" spans="1:10" ht="15">
      <c r="A105" s="163">
        <v>99</v>
      </c>
      <c r="B105" s="164" t="s">
        <v>361</v>
      </c>
      <c r="C105" s="13" t="s">
        <v>239</v>
      </c>
      <c r="D105" s="14"/>
      <c r="E105" s="109"/>
      <c r="F105" s="106"/>
      <c r="G105" s="106"/>
      <c r="H105" s="106"/>
      <c r="I105" s="106"/>
      <c r="J105" s="146"/>
    </row>
    <row r="106" spans="1:10" ht="15">
      <c r="A106" s="163">
        <v>100</v>
      </c>
      <c r="B106" s="164" t="s">
        <v>362</v>
      </c>
      <c r="C106" s="13" t="s">
        <v>239</v>
      </c>
      <c r="D106" s="14"/>
      <c r="E106" s="109"/>
      <c r="F106" s="106"/>
      <c r="G106" s="106"/>
      <c r="H106" s="106"/>
      <c r="I106" s="106"/>
      <c r="J106" s="146"/>
    </row>
    <row r="107" spans="1:10" ht="15">
      <c r="A107" s="163">
        <v>101</v>
      </c>
      <c r="B107" s="164" t="s">
        <v>363</v>
      </c>
      <c r="C107" s="13" t="s">
        <v>239</v>
      </c>
      <c r="D107" s="14"/>
      <c r="E107" s="109"/>
      <c r="F107" s="106"/>
      <c r="G107" s="106"/>
      <c r="H107" s="106"/>
      <c r="I107" s="106"/>
      <c r="J107" s="146"/>
    </row>
    <row r="108" spans="1:10" ht="15">
      <c r="A108" s="163">
        <v>102</v>
      </c>
      <c r="B108" s="164" t="s">
        <v>364</v>
      </c>
      <c r="C108" s="13" t="s">
        <v>239</v>
      </c>
      <c r="D108" s="14"/>
      <c r="E108" s="109"/>
      <c r="F108" s="106"/>
      <c r="G108" s="106"/>
      <c r="H108" s="106"/>
      <c r="I108" s="106"/>
      <c r="J108" s="146"/>
    </row>
    <row r="109" spans="1:10" ht="15">
      <c r="A109" s="163">
        <v>103</v>
      </c>
      <c r="B109" s="164" t="s">
        <v>365</v>
      </c>
      <c r="C109" s="13" t="s">
        <v>239</v>
      </c>
      <c r="D109" s="14"/>
      <c r="E109" s="109"/>
      <c r="F109" s="106"/>
      <c r="G109" s="106"/>
      <c r="H109" s="106"/>
      <c r="I109" s="106"/>
      <c r="J109" s="146"/>
    </row>
    <row r="110" spans="1:10" ht="15">
      <c r="A110" s="163">
        <v>104</v>
      </c>
      <c r="B110" s="164" t="s">
        <v>431</v>
      </c>
      <c r="C110" s="13"/>
      <c r="D110" s="14"/>
      <c r="E110" s="109"/>
      <c r="F110" s="106"/>
      <c r="G110" s="106"/>
      <c r="H110" s="106"/>
      <c r="I110" s="106"/>
      <c r="J110" s="146"/>
    </row>
    <row r="111" spans="1:10" ht="15">
      <c r="A111" s="163">
        <v>105</v>
      </c>
      <c r="B111" s="164" t="s">
        <v>366</v>
      </c>
      <c r="C111" s="13" t="s">
        <v>239</v>
      </c>
      <c r="D111" s="14"/>
      <c r="E111" s="109"/>
      <c r="F111" s="106"/>
      <c r="G111" s="106"/>
      <c r="H111" s="106"/>
      <c r="I111" s="106"/>
      <c r="J111" s="146"/>
    </row>
    <row r="112" spans="1:10" ht="15">
      <c r="A112" s="163">
        <v>106</v>
      </c>
      <c r="B112" s="164" t="s">
        <v>422</v>
      </c>
      <c r="C112" s="13" t="s">
        <v>239</v>
      </c>
      <c r="D112" s="14"/>
      <c r="E112" s="109"/>
      <c r="F112" s="106"/>
      <c r="G112" s="106"/>
      <c r="H112" s="106"/>
      <c r="I112" s="106"/>
      <c r="J112" s="146"/>
    </row>
    <row r="113" spans="1:10" ht="15">
      <c r="A113" s="163">
        <v>107</v>
      </c>
      <c r="B113" s="164" t="s">
        <v>367</v>
      </c>
      <c r="C113" s="13" t="s">
        <v>239</v>
      </c>
      <c r="D113" s="14"/>
      <c r="E113" s="109"/>
      <c r="F113" s="106"/>
      <c r="G113" s="106"/>
      <c r="H113" s="106"/>
      <c r="I113" s="106"/>
      <c r="J113" s="146"/>
    </row>
    <row r="114" spans="1:10" ht="15">
      <c r="A114" s="163">
        <v>108</v>
      </c>
      <c r="B114" s="164" t="s">
        <v>368</v>
      </c>
      <c r="C114" s="13" t="s">
        <v>239</v>
      </c>
      <c r="D114" s="14"/>
      <c r="E114" s="109"/>
      <c r="F114" s="106"/>
      <c r="G114" s="106"/>
      <c r="H114" s="106"/>
      <c r="I114" s="106"/>
      <c r="J114" s="146"/>
    </row>
    <row r="115" spans="1:10" ht="15">
      <c r="A115" s="163">
        <v>109</v>
      </c>
      <c r="B115" s="164" t="s">
        <v>369</v>
      </c>
      <c r="C115" s="13" t="s">
        <v>239</v>
      </c>
      <c r="D115" s="14"/>
      <c r="E115" s="109"/>
      <c r="F115" s="106"/>
      <c r="G115" s="106"/>
      <c r="H115" s="106"/>
      <c r="I115" s="106"/>
      <c r="J115" s="146"/>
    </row>
    <row r="116" spans="1:10" ht="15">
      <c r="A116" s="163">
        <v>110</v>
      </c>
      <c r="B116" s="164" t="s">
        <v>370</v>
      </c>
      <c r="C116" s="13" t="s">
        <v>239</v>
      </c>
      <c r="D116" s="14"/>
      <c r="E116" s="109"/>
      <c r="F116" s="106"/>
      <c r="G116" s="106"/>
      <c r="H116" s="106"/>
      <c r="I116" s="106"/>
      <c r="J116" s="146"/>
    </row>
    <row r="117" spans="1:10" ht="15">
      <c r="A117" s="163">
        <v>111</v>
      </c>
      <c r="B117" s="164" t="s">
        <v>371</v>
      </c>
      <c r="C117" s="13" t="s">
        <v>239</v>
      </c>
      <c r="D117" s="14"/>
      <c r="E117" s="109"/>
      <c r="F117" s="106"/>
      <c r="G117" s="106"/>
      <c r="H117" s="106"/>
      <c r="I117" s="106"/>
      <c r="J117" s="146"/>
    </row>
    <row r="118" spans="1:10" ht="15">
      <c r="A118" s="163">
        <v>112</v>
      </c>
      <c r="B118" s="164" t="s">
        <v>372</v>
      </c>
      <c r="C118" s="13" t="s">
        <v>239</v>
      </c>
      <c r="D118" s="14"/>
      <c r="E118" s="109"/>
      <c r="F118" s="106"/>
      <c r="G118" s="106"/>
      <c r="H118" s="106"/>
      <c r="I118" s="106"/>
      <c r="J118" s="146"/>
    </row>
    <row r="119" spans="1:10" ht="15">
      <c r="A119" s="163">
        <v>113</v>
      </c>
      <c r="B119" s="164" t="s">
        <v>373</v>
      </c>
      <c r="C119" s="13" t="s">
        <v>239</v>
      </c>
      <c r="D119" s="14"/>
      <c r="E119" s="109"/>
      <c r="F119" s="106"/>
      <c r="G119" s="106"/>
      <c r="H119" s="106"/>
      <c r="I119" s="106"/>
      <c r="J119" s="146"/>
    </row>
    <row r="120" spans="1:10" ht="15">
      <c r="A120" s="163">
        <v>114</v>
      </c>
      <c r="B120" s="164" t="s">
        <v>374</v>
      </c>
      <c r="C120" s="13" t="s">
        <v>239</v>
      </c>
      <c r="D120" s="14"/>
      <c r="E120" s="109"/>
      <c r="F120" s="106"/>
      <c r="G120" s="106"/>
      <c r="H120" s="106"/>
      <c r="I120" s="106"/>
      <c r="J120" s="146"/>
    </row>
    <row r="121" spans="1:10" ht="15">
      <c r="A121" s="163">
        <v>115</v>
      </c>
      <c r="B121" s="164" t="s">
        <v>375</v>
      </c>
      <c r="C121" s="13" t="s">
        <v>239</v>
      </c>
      <c r="D121" s="14"/>
      <c r="E121" s="109"/>
      <c r="F121" s="106"/>
      <c r="G121" s="106"/>
      <c r="H121" s="106"/>
      <c r="I121" s="106"/>
      <c r="J121" s="146"/>
    </row>
    <row r="122" spans="1:10" ht="15">
      <c r="A122" s="163">
        <v>116</v>
      </c>
      <c r="B122" s="164" t="s">
        <v>381</v>
      </c>
      <c r="C122" s="13" t="s">
        <v>239</v>
      </c>
      <c r="D122" s="14"/>
      <c r="E122" s="109"/>
      <c r="F122" s="106"/>
      <c r="G122" s="106"/>
      <c r="H122" s="106"/>
      <c r="I122" s="106"/>
      <c r="J122" s="146"/>
    </row>
    <row r="123" spans="1:10" ht="15">
      <c r="A123" s="163">
        <v>117</v>
      </c>
      <c r="B123" s="164" t="s">
        <v>383</v>
      </c>
      <c r="C123" s="13" t="s">
        <v>239</v>
      </c>
      <c r="D123" s="14"/>
      <c r="E123" s="109"/>
      <c r="F123" s="106"/>
      <c r="G123" s="106"/>
      <c r="H123" s="106"/>
      <c r="I123" s="106"/>
      <c r="J123" s="146"/>
    </row>
    <row r="124" spans="1:10" ht="15">
      <c r="A124" s="163">
        <v>118</v>
      </c>
      <c r="B124" s="164" t="s">
        <v>385</v>
      </c>
      <c r="C124" s="13" t="s">
        <v>239</v>
      </c>
      <c r="D124" s="14"/>
      <c r="E124" s="109"/>
      <c r="F124" s="106"/>
      <c r="G124" s="106"/>
      <c r="H124" s="106"/>
      <c r="I124" s="106"/>
      <c r="J124" s="146"/>
    </row>
    <row r="125" spans="1:10" ht="15">
      <c r="A125" s="163">
        <v>119</v>
      </c>
      <c r="B125" s="164" t="s">
        <v>386</v>
      </c>
      <c r="C125" s="13" t="s">
        <v>239</v>
      </c>
      <c r="D125" s="14"/>
      <c r="E125" s="109"/>
      <c r="F125" s="106"/>
      <c r="G125" s="106"/>
      <c r="H125" s="106"/>
      <c r="I125" s="106"/>
      <c r="J125" s="146"/>
    </row>
    <row r="126" spans="1:10" ht="15">
      <c r="A126" s="163">
        <v>120</v>
      </c>
      <c r="B126" s="164" t="s">
        <v>387</v>
      </c>
      <c r="C126" s="13" t="s">
        <v>239</v>
      </c>
      <c r="D126" s="14"/>
      <c r="E126" s="109"/>
      <c r="F126" s="106"/>
      <c r="G126" s="106"/>
      <c r="H126" s="106"/>
      <c r="I126" s="106"/>
      <c r="J126" s="146"/>
    </row>
    <row r="127" spans="1:10" ht="15">
      <c r="A127" s="163">
        <v>121</v>
      </c>
      <c r="B127" s="164" t="s">
        <v>388</v>
      </c>
      <c r="C127" s="13" t="s">
        <v>239</v>
      </c>
      <c r="D127" s="14"/>
      <c r="E127" s="109"/>
      <c r="F127" s="106"/>
      <c r="G127" s="106"/>
      <c r="H127" s="106"/>
      <c r="I127" s="106"/>
      <c r="J127" s="146"/>
    </row>
    <row r="128" spans="1:10" ht="15">
      <c r="A128" s="163">
        <v>122</v>
      </c>
      <c r="B128" s="164" t="s">
        <v>389</v>
      </c>
      <c r="C128" s="13" t="s">
        <v>239</v>
      </c>
      <c r="D128" s="14"/>
      <c r="E128" s="109"/>
      <c r="F128" s="106"/>
      <c r="G128" s="106"/>
      <c r="H128" s="106"/>
      <c r="I128" s="106"/>
      <c r="J128" s="146"/>
    </row>
    <row r="129" spans="1:10" ht="15">
      <c r="A129" s="163">
        <v>123</v>
      </c>
      <c r="B129" s="164" t="s">
        <v>390</v>
      </c>
      <c r="C129" s="13" t="s">
        <v>239</v>
      </c>
      <c r="D129" s="14"/>
      <c r="E129" s="109"/>
      <c r="F129" s="106"/>
      <c r="G129" s="106"/>
      <c r="H129" s="106"/>
      <c r="I129" s="106"/>
      <c r="J129" s="146"/>
    </row>
    <row r="130" spans="1:10" ht="15">
      <c r="A130" s="163">
        <v>124</v>
      </c>
      <c r="B130" s="164" t="s">
        <v>425</v>
      </c>
      <c r="C130" s="13" t="s">
        <v>239</v>
      </c>
      <c r="D130" s="14"/>
      <c r="E130" s="109"/>
      <c r="F130" s="106"/>
      <c r="G130" s="106"/>
      <c r="H130" s="106"/>
      <c r="I130" s="106"/>
      <c r="J130" s="146"/>
    </row>
    <row r="131" spans="1:10" ht="15">
      <c r="A131" s="163">
        <v>125</v>
      </c>
      <c r="B131" s="164" t="s">
        <v>391</v>
      </c>
      <c r="C131" s="13" t="s">
        <v>239</v>
      </c>
      <c r="D131" s="14"/>
      <c r="E131" s="109"/>
      <c r="F131" s="106"/>
      <c r="G131" s="106"/>
      <c r="H131" s="106"/>
      <c r="I131" s="106"/>
      <c r="J131" s="148"/>
    </row>
    <row r="132" spans="1:10" ht="15">
      <c r="A132" s="163">
        <v>126</v>
      </c>
      <c r="B132" s="164" t="s">
        <v>392</v>
      </c>
      <c r="C132" s="13" t="s">
        <v>239</v>
      </c>
      <c r="D132" s="14"/>
      <c r="E132" s="109"/>
      <c r="F132" s="106"/>
      <c r="G132" s="106"/>
      <c r="H132" s="106"/>
      <c r="I132" s="106"/>
      <c r="J132" s="148"/>
    </row>
    <row r="133" spans="1:10" ht="15">
      <c r="A133" s="163">
        <v>127</v>
      </c>
      <c r="B133" s="164" t="s">
        <v>393</v>
      </c>
      <c r="C133" s="13" t="s">
        <v>239</v>
      </c>
      <c r="D133" s="14"/>
      <c r="E133" s="109"/>
      <c r="F133" s="106"/>
      <c r="G133" s="106"/>
      <c r="H133" s="106"/>
      <c r="I133" s="106"/>
      <c r="J133" s="146"/>
    </row>
    <row r="134" spans="1:10" ht="15">
      <c r="A134" s="163">
        <v>128</v>
      </c>
      <c r="B134" s="164" t="s">
        <v>394</v>
      </c>
      <c r="C134" s="13" t="s">
        <v>239</v>
      </c>
      <c r="D134" s="14"/>
      <c r="E134" s="109"/>
      <c r="F134" s="106"/>
      <c r="G134" s="106"/>
      <c r="H134" s="106"/>
      <c r="I134" s="106"/>
      <c r="J134" s="146"/>
    </row>
    <row r="135" spans="1:10" ht="15">
      <c r="A135" s="163">
        <v>129</v>
      </c>
      <c r="B135" s="164" t="s">
        <v>395</v>
      </c>
      <c r="C135" s="13" t="s">
        <v>239</v>
      </c>
      <c r="D135" s="14"/>
      <c r="E135" s="109"/>
      <c r="F135" s="106"/>
      <c r="G135" s="106"/>
      <c r="H135" s="106"/>
      <c r="I135" s="106"/>
      <c r="J135" s="146"/>
    </row>
    <row r="136" spans="1:10" ht="15">
      <c r="A136" s="163">
        <v>130</v>
      </c>
      <c r="B136" s="164" t="s">
        <v>396</v>
      </c>
      <c r="C136" s="13" t="s">
        <v>239</v>
      </c>
      <c r="D136" s="14"/>
      <c r="E136" s="109"/>
      <c r="F136" s="106"/>
      <c r="G136" s="106"/>
      <c r="H136" s="106"/>
      <c r="I136" s="106"/>
      <c r="J136" s="146"/>
    </row>
    <row r="137" spans="1:10" ht="15">
      <c r="A137" s="163">
        <v>131</v>
      </c>
      <c r="B137" s="164" t="s">
        <v>397</v>
      </c>
      <c r="C137" s="13" t="s">
        <v>239</v>
      </c>
      <c r="D137" s="14"/>
      <c r="E137" s="109"/>
      <c r="F137" s="106"/>
      <c r="G137" s="106"/>
      <c r="H137" s="106"/>
      <c r="I137" s="106"/>
      <c r="J137" s="146"/>
    </row>
    <row r="138" spans="1:10" ht="15">
      <c r="A138" s="163">
        <v>132</v>
      </c>
      <c r="B138" s="164" t="s">
        <v>398</v>
      </c>
      <c r="C138" s="13" t="s">
        <v>239</v>
      </c>
      <c r="D138" s="14"/>
      <c r="E138" s="109"/>
      <c r="F138" s="106"/>
      <c r="G138" s="106"/>
      <c r="H138" s="106"/>
      <c r="I138" s="106"/>
      <c r="J138" s="146"/>
    </row>
    <row r="139" spans="1:10" ht="15">
      <c r="A139" s="163">
        <v>133</v>
      </c>
      <c r="B139" s="164" t="s">
        <v>399</v>
      </c>
      <c r="C139" s="13" t="s">
        <v>239</v>
      </c>
      <c r="D139" s="14"/>
      <c r="E139" s="109"/>
      <c r="F139" s="106"/>
      <c r="G139" s="106"/>
      <c r="H139" s="106"/>
      <c r="I139" s="106"/>
      <c r="J139" s="146"/>
    </row>
    <row r="140" spans="1:10" ht="15">
      <c r="A140" s="163">
        <v>134</v>
      </c>
      <c r="B140" s="164" t="s">
        <v>400</v>
      </c>
      <c r="C140" s="13" t="s">
        <v>239</v>
      </c>
      <c r="D140" s="14"/>
      <c r="E140" s="109"/>
      <c r="F140" s="106"/>
      <c r="G140" s="106"/>
      <c r="H140" s="106"/>
      <c r="I140" s="106"/>
      <c r="J140" s="146"/>
    </row>
    <row r="141" spans="1:10" ht="15">
      <c r="A141" s="163">
        <v>135</v>
      </c>
      <c r="B141" s="164" t="s">
        <v>403</v>
      </c>
      <c r="C141" s="13" t="s">
        <v>239</v>
      </c>
      <c r="D141" s="14"/>
      <c r="E141" s="109"/>
      <c r="F141" s="106"/>
      <c r="G141" s="106"/>
      <c r="H141" s="106"/>
      <c r="I141" s="106"/>
      <c r="J141" s="146"/>
    </row>
    <row r="142" spans="1:10" ht="15">
      <c r="A142" s="163">
        <v>136</v>
      </c>
      <c r="B142" s="164" t="s">
        <v>404</v>
      </c>
      <c r="C142" s="13" t="s">
        <v>239</v>
      </c>
      <c r="D142" s="14"/>
      <c r="E142" s="109"/>
      <c r="F142" s="106"/>
      <c r="G142" s="106"/>
      <c r="H142" s="106"/>
      <c r="I142" s="106"/>
      <c r="J142" s="146"/>
    </row>
    <row r="143" spans="1:10" ht="15">
      <c r="A143" s="163">
        <v>137</v>
      </c>
      <c r="B143" s="164" t="s">
        <v>406</v>
      </c>
      <c r="C143" s="13" t="s">
        <v>237</v>
      </c>
      <c r="D143" s="14"/>
      <c r="E143" s="109"/>
      <c r="F143" s="106"/>
      <c r="G143" s="106"/>
      <c r="H143" s="106"/>
      <c r="I143" s="106"/>
      <c r="J143" s="146"/>
    </row>
    <row r="144" spans="1:10" ht="15">
      <c r="A144" s="163">
        <v>138</v>
      </c>
      <c r="B144" s="164" t="s">
        <v>407</v>
      </c>
      <c r="C144" s="13" t="s">
        <v>239</v>
      </c>
      <c r="D144" s="14"/>
      <c r="E144" s="109"/>
      <c r="F144" s="106"/>
      <c r="G144" s="106"/>
      <c r="H144" s="106"/>
      <c r="I144" s="106"/>
      <c r="J144" s="146"/>
    </row>
    <row r="145" spans="1:28" ht="15">
      <c r="A145" s="163">
        <v>139</v>
      </c>
      <c r="B145" s="164" t="s">
        <v>408</v>
      </c>
      <c r="C145" s="13" t="s">
        <v>239</v>
      </c>
      <c r="D145" s="14"/>
      <c r="E145" s="109"/>
      <c r="F145" s="106"/>
      <c r="G145" s="106"/>
      <c r="H145" s="106"/>
      <c r="I145" s="106"/>
      <c r="J145" s="146"/>
    </row>
    <row r="146" spans="1:28" ht="15">
      <c r="A146" s="163">
        <v>140</v>
      </c>
      <c r="B146" s="164" t="s">
        <v>409</v>
      </c>
      <c r="C146" s="13" t="s">
        <v>239</v>
      </c>
      <c r="D146" s="14"/>
      <c r="E146" s="109"/>
      <c r="F146" s="106"/>
      <c r="G146" s="106"/>
      <c r="H146" s="106"/>
      <c r="I146" s="106"/>
      <c r="J146" s="146"/>
    </row>
    <row r="147" spans="1:28" ht="15">
      <c r="A147" s="163">
        <v>141</v>
      </c>
      <c r="B147" s="164" t="s">
        <v>410</v>
      </c>
      <c r="C147" s="13" t="s">
        <v>239</v>
      </c>
      <c r="D147" s="14"/>
      <c r="E147" s="109"/>
      <c r="F147" s="106"/>
      <c r="G147" s="106"/>
      <c r="H147" s="106"/>
      <c r="I147" s="106"/>
      <c r="J147" s="146"/>
    </row>
    <row r="148" spans="1:28" ht="15">
      <c r="A148" s="163">
        <v>142</v>
      </c>
      <c r="B148" s="164" t="s">
        <v>411</v>
      </c>
      <c r="C148" s="13" t="s">
        <v>239</v>
      </c>
      <c r="D148" s="14"/>
      <c r="E148" s="109"/>
      <c r="F148" s="106"/>
      <c r="G148" s="106"/>
      <c r="H148" s="106"/>
      <c r="I148" s="106"/>
      <c r="J148" s="146"/>
    </row>
    <row r="149" spans="1:28" ht="15">
      <c r="A149" s="163">
        <v>143</v>
      </c>
      <c r="B149" s="164" t="s">
        <v>412</v>
      </c>
      <c r="C149" s="13" t="s">
        <v>239</v>
      </c>
      <c r="D149" s="14"/>
      <c r="E149" s="109"/>
      <c r="F149" s="106"/>
      <c r="G149" s="106"/>
      <c r="H149" s="106"/>
      <c r="I149" s="106"/>
      <c r="J149" s="146"/>
    </row>
    <row r="150" spans="1:28" ht="15">
      <c r="A150" s="163">
        <v>144</v>
      </c>
      <c r="B150" s="164" t="s">
        <v>413</v>
      </c>
      <c r="C150" s="13" t="s">
        <v>414</v>
      </c>
      <c r="D150" s="14"/>
      <c r="E150" s="109"/>
      <c r="F150" s="106"/>
      <c r="G150" s="106"/>
      <c r="H150" s="106"/>
      <c r="I150" s="106"/>
      <c r="J150" s="146"/>
    </row>
    <row r="151" spans="1:28" ht="15">
      <c r="A151" s="163">
        <v>145</v>
      </c>
      <c r="B151" s="164" t="s">
        <v>415</v>
      </c>
      <c r="C151" s="13" t="s">
        <v>416</v>
      </c>
      <c r="D151" s="14"/>
      <c r="E151" s="109"/>
      <c r="F151" s="106"/>
      <c r="G151" s="106"/>
      <c r="H151" s="106"/>
      <c r="I151" s="106"/>
      <c r="J151" s="146"/>
    </row>
    <row r="152" spans="1:28" ht="15">
      <c r="A152" s="163">
        <v>146</v>
      </c>
      <c r="B152" s="166" t="s">
        <v>423</v>
      </c>
      <c r="C152" s="56" t="s">
        <v>414</v>
      </c>
      <c r="D152" s="141"/>
      <c r="E152" s="128"/>
      <c r="F152" s="71"/>
      <c r="G152" s="71"/>
      <c r="H152" s="71"/>
      <c r="I152" s="71"/>
      <c r="J152" s="147"/>
    </row>
    <row r="153" spans="1:28" ht="15.75">
      <c r="A153" s="163">
        <v>147</v>
      </c>
      <c r="B153" s="166" t="s">
        <v>417</v>
      </c>
      <c r="C153" s="56" t="s">
        <v>414</v>
      </c>
      <c r="D153" s="141"/>
      <c r="E153" s="122"/>
      <c r="F153" s="121"/>
      <c r="G153" s="121"/>
      <c r="H153" s="121"/>
      <c r="I153" s="121"/>
      <c r="J153" s="149"/>
    </row>
    <row r="154" spans="1:28" ht="15.75">
      <c r="A154" s="163">
        <v>148</v>
      </c>
      <c r="B154" s="166" t="s">
        <v>418</v>
      </c>
      <c r="C154" s="56" t="s">
        <v>419</v>
      </c>
      <c r="D154" s="141"/>
      <c r="E154" s="122"/>
      <c r="F154" s="121"/>
      <c r="G154" s="121"/>
      <c r="H154" s="121"/>
      <c r="I154" s="121"/>
      <c r="J154" s="149"/>
    </row>
    <row r="155" spans="1:28" ht="15.75">
      <c r="A155" s="163">
        <v>149</v>
      </c>
      <c r="B155" s="166" t="s">
        <v>433</v>
      </c>
      <c r="C155" s="56"/>
      <c r="D155" s="141"/>
      <c r="E155" s="122"/>
      <c r="F155" s="121"/>
      <c r="G155" s="121"/>
      <c r="H155" s="121"/>
      <c r="I155" s="121"/>
      <c r="J155" s="149"/>
    </row>
    <row r="156" spans="1:28" ht="15">
      <c r="A156" s="163">
        <v>150</v>
      </c>
      <c r="B156" s="164" t="s">
        <v>420</v>
      </c>
      <c r="C156" s="13" t="s">
        <v>239</v>
      </c>
      <c r="D156" s="14"/>
      <c r="E156" s="109"/>
      <c r="F156" s="106"/>
      <c r="G156" s="106"/>
      <c r="H156" s="106"/>
      <c r="I156" s="106"/>
      <c r="J156" s="146"/>
    </row>
    <row r="157" spans="1:28" ht="15.75">
      <c r="A157" s="167"/>
      <c r="B157" s="168"/>
      <c r="C157" s="13"/>
      <c r="D157" s="14"/>
      <c r="E157" s="14"/>
      <c r="F157" s="14"/>
      <c r="G157" s="14"/>
      <c r="H157" s="14"/>
      <c r="I157" s="14"/>
      <c r="J157" s="150"/>
    </row>
    <row r="158" spans="1:28" ht="15">
      <c r="A158" s="177"/>
      <c r="B158" s="178"/>
      <c r="C158" s="191"/>
      <c r="D158" s="15"/>
      <c r="E158" s="155"/>
      <c r="F158" s="14"/>
      <c r="G158" s="14"/>
      <c r="H158" s="14"/>
      <c r="I158" s="14"/>
      <c r="J158" s="150"/>
    </row>
    <row r="159" spans="1:28" ht="15.75">
      <c r="A159" s="17"/>
      <c r="B159" s="18"/>
      <c r="C159" s="17"/>
      <c r="D159" s="19"/>
      <c r="E159" s="125" t="e">
        <v>#REF!</v>
      </c>
      <c r="F159" s="137" t="e">
        <v>#REF!</v>
      </c>
      <c r="G159" s="137" t="e">
        <v>#REF!</v>
      </c>
      <c r="H159" s="137" t="e">
        <v>#REF!</v>
      </c>
      <c r="I159" s="137" t="e">
        <v>#REF!</v>
      </c>
      <c r="J159" s="137"/>
      <c r="K159" s="126"/>
    </row>
    <row r="160" spans="1:28" ht="15.75">
      <c r="A160" s="17"/>
      <c r="B160" s="143"/>
      <c r="C160" s="17"/>
      <c r="D160" s="19"/>
      <c r="E160" s="22"/>
      <c r="F160" s="22">
        <v>0</v>
      </c>
      <c r="G160" s="22">
        <v>0</v>
      </c>
      <c r="H160" s="22">
        <v>0</v>
      </c>
      <c r="I160" s="22">
        <v>261895</v>
      </c>
      <c r="J160" s="22">
        <v>276363</v>
      </c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1:10" ht="15">
      <c r="A161" s="152"/>
      <c r="D161" s="4"/>
      <c r="E161" s="156"/>
      <c r="F161" s="151"/>
      <c r="G161" s="121"/>
      <c r="H161" s="121"/>
      <c r="I161" s="121"/>
      <c r="J161" s="149"/>
    </row>
  </sheetData>
  <mergeCells count="6">
    <mergeCell ref="A158:C158"/>
    <mergeCell ref="A4:A6"/>
    <mergeCell ref="B4:B6"/>
    <mergeCell ref="C4:C6"/>
    <mergeCell ref="D4:J4"/>
    <mergeCell ref="E5:J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Obce wspólnoty</vt:lpstr>
      <vt:lpstr>Współnoty</vt:lpstr>
      <vt:lpstr>Zasaoby ROM1 komunal i prywat</vt:lpstr>
      <vt:lpstr>Prywatne</vt:lpstr>
      <vt:lpstr>Komunalne</vt:lpstr>
      <vt:lpstr>Komunalne!Tytuły_wydruku</vt:lpstr>
      <vt:lpstr>Prywatne!Tytuły_wydruku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Jaskulska</dc:creator>
  <cp:lastModifiedBy>Urszula Borkowska</cp:lastModifiedBy>
  <cp:lastPrinted>2018-07-10T06:48:39Z</cp:lastPrinted>
  <dcterms:created xsi:type="dcterms:W3CDTF">2015-12-16T09:28:51Z</dcterms:created>
  <dcterms:modified xsi:type="dcterms:W3CDTF">2018-08-10T06:41:40Z</dcterms:modified>
</cp:coreProperties>
</file>